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05" yWindow="0" windowWidth="27255" windowHeight="15990" tabRatio="500"/>
  </bookViews>
  <sheets>
    <sheet name="Weekly Cost Comparison" sheetId="5" r:id="rId1"/>
    <sheet name="Fare Calculator - Basic" sheetId="11" r:id="rId2"/>
    <sheet name="Fare Calculator - Advanced" sheetId="6" r:id="rId3"/>
    <sheet name="Data Tables" sheetId="7" state="hidden" r:id="rId4"/>
    <sheet name="Weekly Cost Opal" sheetId="10" state="hidden" r:id="rId5"/>
  </sheets>
  <externalReferences>
    <externalReference r:id="rId6"/>
  </externalReferences>
  <definedNames>
    <definedName name="Caps">'[1]Weekly Fare Calculator'!$B$95:$B$101</definedName>
    <definedName name="day">'Data Tables'!$A$5:$A$12</definedName>
    <definedName name="day_cap">'Data Tables'!$B$5:$B$12</definedName>
    <definedName name="Days">'[1]Weekly Fare Calculator'!$A$95:$A$101</definedName>
    <definedName name="fare">'Data Tables'!$A$15:$A$30</definedName>
    <definedName name="fare_cost">'Data Tables'!$B$15:$B$30</definedName>
    <definedName name="farecost">'[1]Weekly Fare Calculator'!$B$109:$D$114</definedName>
    <definedName name="fares">'[1]Weekly Fare Calculator'!$A$109:$A$114</definedName>
    <definedName name="journey_cap">'Data Tables'!$B$32</definedName>
    <definedName name="offpeak">'[1]Weekly Fare Calculator'!$C$109:$C$113</definedName>
    <definedName name="paperticketcost">'[1]Weekly Fare Calculator'!$E$109:$H$113</definedName>
    <definedName name="papertickets">'[1]Weekly Fare Calculator'!$E$108:$H$108</definedName>
    <definedName name="peak">'[1]Weekly Fare Calculator'!$B$109:$B$113</definedName>
    <definedName name="peakoffpeak">'[1]Weekly Fare Calculator'!$B$108:$D$108</definedName>
    <definedName name="reward">'[1]Weekly Fare Calculator'!$B$104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13" i="5" l="1"/>
  <c r="F35" i="5"/>
  <c r="C9" i="11"/>
  <c r="C10" i="11"/>
  <c r="C11" i="11"/>
  <c r="C12" i="11"/>
  <c r="C13" i="11"/>
  <c r="E14" i="6"/>
  <c r="I14" i="6"/>
  <c r="E15" i="6"/>
  <c r="I15" i="6"/>
  <c r="K14" i="6"/>
  <c r="K15" i="6"/>
  <c r="E16" i="6"/>
  <c r="F16" i="6"/>
  <c r="G16" i="6"/>
  <c r="H16" i="6"/>
  <c r="I16" i="6"/>
  <c r="E17" i="6"/>
  <c r="I17" i="6"/>
  <c r="E18" i="6"/>
  <c r="I18" i="6"/>
  <c r="K16" i="6"/>
  <c r="K17" i="6"/>
  <c r="K18" i="6"/>
  <c r="E19" i="6"/>
  <c r="F19" i="6"/>
  <c r="G19" i="6"/>
  <c r="H19" i="6"/>
  <c r="I19" i="6"/>
  <c r="E20" i="6"/>
  <c r="I20" i="6"/>
  <c r="E21" i="6"/>
  <c r="I21" i="6"/>
  <c r="K19" i="6"/>
  <c r="K20" i="6"/>
  <c r="K21" i="6"/>
  <c r="E22" i="6"/>
  <c r="F22" i="6"/>
  <c r="G22" i="6"/>
  <c r="H22" i="6"/>
  <c r="I22" i="6"/>
  <c r="E23" i="6"/>
  <c r="I23" i="6"/>
  <c r="E24" i="6"/>
  <c r="I24" i="6"/>
  <c r="K22" i="6"/>
  <c r="K23" i="6"/>
  <c r="K24" i="6"/>
  <c r="E25" i="6"/>
  <c r="F25" i="6"/>
  <c r="G25" i="6"/>
  <c r="H25" i="6"/>
  <c r="I25" i="6"/>
  <c r="E26" i="6"/>
  <c r="I26" i="6"/>
  <c r="E27" i="6"/>
  <c r="I27" i="6"/>
  <c r="K25" i="6"/>
  <c r="K26" i="6"/>
  <c r="K27" i="6"/>
  <c r="E28" i="6"/>
  <c r="F28" i="6"/>
  <c r="G28" i="6"/>
  <c r="H28" i="6"/>
  <c r="I28" i="6"/>
  <c r="E29" i="6"/>
  <c r="I29" i="6"/>
  <c r="E30" i="6"/>
  <c r="I30" i="6"/>
  <c r="K28" i="6"/>
  <c r="K29" i="6"/>
  <c r="K30" i="6"/>
  <c r="E31" i="6"/>
  <c r="F31" i="6"/>
  <c r="G31" i="6"/>
  <c r="H31" i="6"/>
  <c r="I31" i="6"/>
  <c r="E32" i="6"/>
  <c r="I32" i="6"/>
  <c r="E33" i="6"/>
  <c r="I33" i="6"/>
  <c r="K31" i="6"/>
  <c r="K32" i="6"/>
  <c r="K33" i="6"/>
  <c r="E34" i="6"/>
  <c r="F34" i="6"/>
  <c r="G34" i="6"/>
  <c r="H34" i="6"/>
  <c r="I34" i="6"/>
  <c r="E35" i="6"/>
  <c r="I35" i="6"/>
  <c r="E36" i="6"/>
  <c r="I36" i="6"/>
  <c r="K34" i="6"/>
  <c r="K35" i="6"/>
  <c r="K36" i="6"/>
  <c r="E37" i="6"/>
  <c r="F37" i="6"/>
  <c r="G37" i="6"/>
  <c r="H37" i="6"/>
  <c r="I37" i="6"/>
  <c r="E38" i="6"/>
  <c r="I38" i="6"/>
  <c r="E39" i="6"/>
  <c r="I39" i="6"/>
  <c r="K37" i="6"/>
  <c r="K38" i="6"/>
  <c r="K39" i="6"/>
  <c r="E40" i="6"/>
  <c r="I40" i="6"/>
  <c r="E41" i="6"/>
  <c r="I41" i="6"/>
  <c r="E42" i="6"/>
  <c r="I42" i="6"/>
  <c r="K40" i="6"/>
  <c r="K41" i="6"/>
  <c r="K42" i="6"/>
  <c r="E43" i="6"/>
  <c r="I43" i="6"/>
  <c r="E44" i="6"/>
  <c r="I44" i="6"/>
  <c r="E45" i="6"/>
  <c r="I45" i="6"/>
  <c r="K43" i="6"/>
  <c r="K44" i="6"/>
  <c r="K45" i="6"/>
  <c r="E46" i="6"/>
  <c r="I46" i="6"/>
  <c r="E47" i="6"/>
  <c r="I47" i="6"/>
  <c r="E48" i="6"/>
  <c r="I48" i="6"/>
  <c r="K46" i="6"/>
  <c r="K47" i="6"/>
  <c r="K48" i="6"/>
  <c r="E49" i="6"/>
  <c r="I49" i="6"/>
  <c r="E50" i="6"/>
  <c r="I50" i="6"/>
  <c r="E51" i="6"/>
  <c r="I51" i="6"/>
  <c r="K49" i="6"/>
  <c r="K50" i="6"/>
  <c r="K51" i="6"/>
  <c r="E52" i="6"/>
  <c r="I52" i="6"/>
  <c r="E53" i="6"/>
  <c r="I53" i="6"/>
  <c r="E54" i="6"/>
  <c r="I54" i="6"/>
  <c r="K52" i="6"/>
  <c r="K53" i="6"/>
  <c r="K54" i="6"/>
  <c r="E55" i="6"/>
  <c r="I55" i="6"/>
  <c r="E56" i="6"/>
  <c r="I56" i="6"/>
  <c r="E57" i="6"/>
  <c r="I57" i="6"/>
  <c r="J9" i="6"/>
  <c r="C45" i="5"/>
  <c r="C35" i="5"/>
  <c r="D45" i="5"/>
  <c r="D35" i="5"/>
  <c r="E45" i="5"/>
  <c r="E35" i="5"/>
  <c r="C14" i="11"/>
  <c r="C31" i="10"/>
  <c r="C32" i="10"/>
  <c r="D68" i="10"/>
  <c r="E50" i="5"/>
  <c r="P67" i="10"/>
  <c r="P68" i="10"/>
  <c r="V68" i="10"/>
  <c r="D50" i="5"/>
  <c r="O67" i="10"/>
  <c r="O68" i="10"/>
  <c r="U68" i="10"/>
  <c r="C50" i="5"/>
  <c r="N67" i="10"/>
  <c r="N68" i="10"/>
  <c r="T68" i="10"/>
  <c r="S68" i="10"/>
  <c r="D67" i="10"/>
  <c r="V67" i="10"/>
  <c r="U67" i="10"/>
  <c r="T67" i="10"/>
  <c r="S67" i="10"/>
  <c r="J45" i="5"/>
  <c r="J49" i="5"/>
  <c r="D66" i="10"/>
  <c r="E49" i="5"/>
  <c r="P66" i="10"/>
  <c r="J51" i="5"/>
  <c r="L66" i="10"/>
  <c r="V66" i="10"/>
  <c r="D49" i="5"/>
  <c r="O66" i="10"/>
  <c r="U66" i="10"/>
  <c r="C49" i="5"/>
  <c r="N66" i="10"/>
  <c r="T66" i="10"/>
  <c r="S66" i="10"/>
  <c r="J48" i="5"/>
  <c r="D65" i="10"/>
  <c r="E48" i="5"/>
  <c r="P65" i="10"/>
  <c r="L65" i="10"/>
  <c r="V65" i="10"/>
  <c r="D48" i="5"/>
  <c r="O65" i="10"/>
  <c r="U65" i="10"/>
  <c r="C48" i="5"/>
  <c r="N65" i="10"/>
  <c r="T65" i="10"/>
  <c r="S65" i="10"/>
  <c r="J47" i="5"/>
  <c r="D64" i="10"/>
  <c r="E47" i="5"/>
  <c r="P64" i="10"/>
  <c r="L64" i="10"/>
  <c r="V64" i="10"/>
  <c r="D47" i="5"/>
  <c r="O64" i="10"/>
  <c r="U64" i="10"/>
  <c r="C47" i="5"/>
  <c r="N64" i="10"/>
  <c r="T64" i="10"/>
  <c r="S64" i="10"/>
  <c r="J46" i="5"/>
  <c r="D63" i="10"/>
  <c r="E46" i="5"/>
  <c r="P63" i="10"/>
  <c r="L63" i="10"/>
  <c r="V63" i="10"/>
  <c r="D46" i="5"/>
  <c r="O63" i="10"/>
  <c r="U63" i="10"/>
  <c r="C46" i="5"/>
  <c r="N63" i="10"/>
  <c r="T63" i="10"/>
  <c r="S63" i="10"/>
  <c r="S61" i="10"/>
  <c r="D46" i="10"/>
  <c r="P45" i="10"/>
  <c r="P46" i="10"/>
  <c r="V46" i="10"/>
  <c r="O45" i="10"/>
  <c r="O46" i="10"/>
  <c r="U46" i="10"/>
  <c r="N45" i="10"/>
  <c r="N46" i="10"/>
  <c r="T46" i="10"/>
  <c r="S46" i="10"/>
  <c r="D45" i="10"/>
  <c r="V45" i="10"/>
  <c r="U45" i="10"/>
  <c r="T45" i="10"/>
  <c r="S45" i="10"/>
  <c r="D44" i="10"/>
  <c r="P44" i="10"/>
  <c r="K45" i="5"/>
  <c r="K46" i="5"/>
  <c r="L44" i="10"/>
  <c r="V44" i="10"/>
  <c r="O44" i="10"/>
  <c r="U44" i="10"/>
  <c r="N44" i="10"/>
  <c r="T44" i="10"/>
  <c r="S44" i="10"/>
  <c r="D43" i="10"/>
  <c r="P43" i="10"/>
  <c r="L43" i="10"/>
  <c r="V43" i="10"/>
  <c r="O43" i="10"/>
  <c r="U43" i="10"/>
  <c r="N43" i="10"/>
  <c r="T43" i="10"/>
  <c r="S43" i="10"/>
  <c r="D42" i="10"/>
  <c r="P42" i="10"/>
  <c r="L42" i="10"/>
  <c r="V42" i="10"/>
  <c r="O42" i="10"/>
  <c r="U42" i="10"/>
  <c r="N42" i="10"/>
  <c r="T42" i="10"/>
  <c r="S42" i="10"/>
  <c r="D41" i="10"/>
  <c r="P41" i="10"/>
  <c r="L41" i="10"/>
  <c r="V41" i="10"/>
  <c r="O41" i="10"/>
  <c r="U41" i="10"/>
  <c r="N41" i="10"/>
  <c r="T41" i="10"/>
  <c r="S41" i="10"/>
  <c r="S39" i="10"/>
  <c r="S25" i="10"/>
  <c r="S24" i="10"/>
  <c r="S23" i="10"/>
  <c r="S22" i="10"/>
  <c r="S21" i="10"/>
  <c r="S20" i="10"/>
  <c r="S18" i="10"/>
  <c r="C6" i="10"/>
  <c r="C7" i="10"/>
  <c r="D25" i="10"/>
  <c r="P24" i="10"/>
  <c r="P25" i="10"/>
  <c r="L25" i="10"/>
  <c r="V25" i="10"/>
  <c r="D24" i="10"/>
  <c r="L24" i="10"/>
  <c r="V24" i="10"/>
  <c r="D23" i="10"/>
  <c r="P23" i="10"/>
  <c r="K49" i="5"/>
  <c r="L23" i="10"/>
  <c r="V23" i="10"/>
  <c r="D22" i="10"/>
  <c r="P22" i="10"/>
  <c r="K48" i="5"/>
  <c r="L22" i="10"/>
  <c r="V22" i="10"/>
  <c r="D21" i="10"/>
  <c r="P21" i="10"/>
  <c r="K47" i="5"/>
  <c r="L21" i="10"/>
  <c r="V21" i="10"/>
  <c r="D20" i="10"/>
  <c r="P20" i="10"/>
  <c r="L20" i="10"/>
  <c r="V20" i="10"/>
  <c r="O24" i="10"/>
  <c r="O25" i="10"/>
  <c r="U25" i="10"/>
  <c r="U24" i="10"/>
  <c r="O23" i="10"/>
  <c r="U23" i="10"/>
  <c r="O22" i="10"/>
  <c r="U22" i="10"/>
  <c r="O21" i="10"/>
  <c r="U21" i="10"/>
  <c r="O20" i="10"/>
  <c r="U20" i="10"/>
  <c r="N24" i="10"/>
  <c r="N25" i="10"/>
  <c r="T25" i="10"/>
  <c r="T24" i="10"/>
  <c r="N23" i="10"/>
  <c r="T23" i="10"/>
  <c r="N22" i="10"/>
  <c r="T22" i="10"/>
  <c r="N21" i="10"/>
  <c r="T21" i="10"/>
  <c r="N20" i="10"/>
  <c r="T20" i="10"/>
  <c r="J55" i="5"/>
  <c r="I55" i="5"/>
  <c r="I73" i="5"/>
  <c r="I86" i="5"/>
  <c r="J54" i="5"/>
  <c r="I54" i="5"/>
  <c r="I72" i="5"/>
  <c r="I85" i="5"/>
  <c r="J53" i="5"/>
  <c r="I53" i="5"/>
  <c r="I71" i="5"/>
  <c r="I84" i="5"/>
  <c r="J52" i="5"/>
  <c r="I52" i="5"/>
  <c r="I70" i="5"/>
  <c r="I83" i="5"/>
  <c r="I51" i="5"/>
  <c r="I69" i="5"/>
  <c r="I82" i="5"/>
  <c r="G55" i="5"/>
  <c r="G73" i="5"/>
  <c r="G86" i="5"/>
  <c r="G54" i="5"/>
  <c r="G72" i="5"/>
  <c r="G85" i="5"/>
  <c r="F45" i="5"/>
  <c r="F55" i="5"/>
  <c r="F73" i="5"/>
  <c r="F86" i="5"/>
  <c r="F54" i="5"/>
  <c r="F72" i="5"/>
  <c r="F85" i="5"/>
  <c r="F53" i="5"/>
  <c r="F71" i="5"/>
  <c r="F84" i="5"/>
  <c r="F52" i="5"/>
  <c r="F70" i="5"/>
  <c r="F83" i="5"/>
  <c r="F51" i="5"/>
  <c r="F69" i="5"/>
  <c r="F82" i="5"/>
  <c r="I50" i="5"/>
  <c r="I68" i="5"/>
  <c r="I81" i="5"/>
  <c r="H50" i="5"/>
  <c r="H68" i="5"/>
  <c r="H81" i="5"/>
  <c r="G50" i="5"/>
  <c r="G68" i="5"/>
  <c r="G81" i="5"/>
  <c r="F50" i="5"/>
  <c r="F68" i="5"/>
  <c r="F81" i="5"/>
  <c r="E68" i="5"/>
  <c r="E81" i="5"/>
  <c r="D68" i="5"/>
  <c r="D81" i="5"/>
  <c r="C68" i="5"/>
  <c r="C81" i="5"/>
  <c r="I49" i="5"/>
  <c r="I67" i="5"/>
  <c r="I80" i="5"/>
  <c r="H49" i="5"/>
  <c r="H67" i="5"/>
  <c r="H80" i="5"/>
  <c r="G49" i="5"/>
  <c r="G67" i="5"/>
  <c r="G80" i="5"/>
  <c r="F49" i="5"/>
  <c r="F67" i="5"/>
  <c r="F80" i="5"/>
  <c r="E67" i="5"/>
  <c r="E80" i="5"/>
  <c r="D67" i="5"/>
  <c r="D80" i="5"/>
  <c r="C67" i="5"/>
  <c r="C80" i="5"/>
  <c r="I48" i="5"/>
  <c r="I66" i="5"/>
  <c r="I79" i="5"/>
  <c r="H48" i="5"/>
  <c r="H66" i="5"/>
  <c r="H79" i="5"/>
  <c r="G48" i="5"/>
  <c r="G66" i="5"/>
  <c r="G79" i="5"/>
  <c r="F48" i="5"/>
  <c r="F66" i="5"/>
  <c r="F79" i="5"/>
  <c r="E66" i="5"/>
  <c r="E79" i="5"/>
  <c r="D66" i="5"/>
  <c r="D79" i="5"/>
  <c r="C66" i="5"/>
  <c r="C79" i="5"/>
  <c r="I47" i="5"/>
  <c r="I65" i="5"/>
  <c r="I78" i="5"/>
  <c r="H47" i="5"/>
  <c r="H65" i="5"/>
  <c r="H78" i="5"/>
  <c r="G47" i="5"/>
  <c r="G65" i="5"/>
  <c r="G78" i="5"/>
  <c r="F47" i="5"/>
  <c r="F65" i="5"/>
  <c r="F78" i="5"/>
  <c r="E65" i="5"/>
  <c r="E78" i="5"/>
  <c r="D65" i="5"/>
  <c r="D78" i="5"/>
  <c r="C65" i="5"/>
  <c r="C78" i="5"/>
  <c r="I46" i="5"/>
  <c r="I64" i="5"/>
  <c r="I77" i="5"/>
  <c r="H46" i="5"/>
  <c r="H64" i="5"/>
  <c r="H77" i="5"/>
  <c r="G46" i="5"/>
  <c r="G64" i="5"/>
  <c r="G77" i="5"/>
  <c r="F46" i="5"/>
  <c r="F64" i="5"/>
  <c r="F77" i="5"/>
  <c r="E64" i="5"/>
  <c r="E77" i="5"/>
  <c r="D64" i="5"/>
  <c r="D77" i="5"/>
  <c r="C64" i="5"/>
  <c r="C77" i="5"/>
  <c r="Q67" i="10"/>
  <c r="Q66" i="10"/>
  <c r="Q65" i="10"/>
  <c r="Q64" i="10"/>
  <c r="Q63" i="10"/>
  <c r="C53" i="10"/>
  <c r="Q68" i="10"/>
  <c r="G68" i="10"/>
  <c r="F68" i="10"/>
  <c r="E68" i="10"/>
  <c r="H67" i="10"/>
  <c r="G67" i="10"/>
  <c r="F67" i="10"/>
  <c r="E67" i="10"/>
  <c r="K66" i="10"/>
  <c r="J66" i="10"/>
  <c r="I66" i="10"/>
  <c r="H66" i="10"/>
  <c r="G66" i="10"/>
  <c r="F66" i="10"/>
  <c r="E66" i="10"/>
  <c r="K65" i="10"/>
  <c r="J65" i="10"/>
  <c r="I65" i="10"/>
  <c r="H65" i="10"/>
  <c r="G65" i="10"/>
  <c r="F65" i="10"/>
  <c r="E65" i="10"/>
  <c r="K64" i="10"/>
  <c r="J64" i="10"/>
  <c r="I64" i="10"/>
  <c r="H64" i="10"/>
  <c r="G64" i="10"/>
  <c r="F64" i="10"/>
  <c r="E64" i="10"/>
  <c r="K63" i="10"/>
  <c r="J63" i="10"/>
  <c r="I63" i="10"/>
  <c r="H63" i="10"/>
  <c r="G63" i="10"/>
  <c r="F63" i="10"/>
  <c r="E63" i="10"/>
  <c r="C54" i="10"/>
  <c r="H45" i="10"/>
  <c r="Q41" i="10"/>
  <c r="Q42" i="10"/>
  <c r="Q43" i="10"/>
  <c r="Q44" i="10"/>
  <c r="Q45" i="10"/>
  <c r="Q46" i="10"/>
  <c r="Q24" i="10"/>
  <c r="Q25" i="10"/>
  <c r="Q23" i="10"/>
  <c r="Q22" i="10"/>
  <c r="Q21" i="10"/>
  <c r="Q20" i="10"/>
  <c r="G44" i="10"/>
  <c r="G43" i="10"/>
  <c r="G42" i="10"/>
  <c r="G41" i="10"/>
  <c r="G46" i="10"/>
  <c r="F46" i="10"/>
  <c r="E46" i="10"/>
  <c r="G45" i="10"/>
  <c r="F45" i="10"/>
  <c r="E45" i="10"/>
  <c r="G25" i="10"/>
  <c r="G24" i="10"/>
  <c r="G23" i="10"/>
  <c r="G22" i="10"/>
  <c r="G21" i="10"/>
  <c r="G20" i="10"/>
  <c r="K44" i="10"/>
  <c r="J44" i="10"/>
  <c r="I44" i="10"/>
  <c r="H44" i="10"/>
  <c r="F44" i="10"/>
  <c r="E44" i="10"/>
  <c r="K43" i="10"/>
  <c r="J43" i="10"/>
  <c r="I43" i="10"/>
  <c r="H43" i="10"/>
  <c r="F43" i="10"/>
  <c r="E43" i="10"/>
  <c r="K42" i="10"/>
  <c r="J42" i="10"/>
  <c r="I42" i="10"/>
  <c r="H42" i="10"/>
  <c r="F42" i="10"/>
  <c r="E42" i="10"/>
  <c r="K41" i="10"/>
  <c r="J41" i="10"/>
  <c r="I41" i="10"/>
  <c r="H41" i="10"/>
  <c r="F41" i="10"/>
  <c r="E41" i="10"/>
  <c r="K23" i="10"/>
  <c r="J23" i="10"/>
  <c r="I23" i="10"/>
  <c r="H23" i="10"/>
  <c r="F23" i="10"/>
  <c r="E23" i="10"/>
  <c r="K22" i="10"/>
  <c r="J22" i="10"/>
  <c r="I22" i="10"/>
  <c r="H22" i="10"/>
  <c r="F22" i="10"/>
  <c r="E22" i="10"/>
  <c r="K21" i="10"/>
  <c r="J21" i="10"/>
  <c r="I21" i="10"/>
  <c r="H21" i="10"/>
  <c r="F21" i="10"/>
  <c r="E21" i="10"/>
  <c r="K20" i="10"/>
  <c r="J20" i="10"/>
  <c r="I20" i="10"/>
  <c r="H20" i="10"/>
  <c r="F20" i="10"/>
  <c r="E20" i="10"/>
  <c r="K25" i="10"/>
  <c r="J25" i="10"/>
  <c r="I25" i="10"/>
  <c r="H25" i="10"/>
  <c r="F25" i="10"/>
  <c r="E25" i="10"/>
  <c r="K24" i="10"/>
  <c r="J24" i="10"/>
  <c r="I24" i="10"/>
  <c r="H24" i="10"/>
  <c r="F24" i="10"/>
  <c r="E24" i="10"/>
  <c r="K50" i="5"/>
  <c r="G40" i="6"/>
  <c r="G43" i="6"/>
  <c r="G46" i="6"/>
  <c r="K57" i="6"/>
  <c r="K56" i="6"/>
  <c r="K55" i="6"/>
  <c r="F14" i="6"/>
  <c r="G14" i="6"/>
  <c r="H14" i="6"/>
  <c r="G17" i="6"/>
  <c r="F17" i="6"/>
  <c r="H17" i="6"/>
  <c r="G20" i="6"/>
  <c r="F20" i="6"/>
  <c r="H20" i="6"/>
  <c r="G23" i="6"/>
  <c r="F23" i="6"/>
  <c r="H23" i="6"/>
  <c r="G26" i="6"/>
  <c r="F26" i="6"/>
  <c r="H26" i="6"/>
  <c r="G29" i="6"/>
  <c r="F29" i="6"/>
  <c r="H29" i="6"/>
  <c r="G32" i="6"/>
  <c r="F32" i="6"/>
  <c r="H32" i="6"/>
  <c r="G35" i="6"/>
  <c r="F35" i="6"/>
  <c r="H35" i="6"/>
  <c r="J57" i="6"/>
  <c r="H57" i="6"/>
  <c r="G57" i="6"/>
  <c r="F57" i="6"/>
  <c r="J56" i="6"/>
  <c r="H56" i="6"/>
  <c r="G56" i="6"/>
  <c r="F56" i="6"/>
  <c r="G55" i="6"/>
  <c r="J55" i="6"/>
  <c r="H55" i="6"/>
  <c r="F55" i="6"/>
  <c r="J54" i="6"/>
  <c r="H54" i="6"/>
  <c r="G54" i="6"/>
  <c r="F54" i="6"/>
  <c r="F15" i="6"/>
  <c r="G15" i="6"/>
  <c r="H15" i="6"/>
  <c r="G53" i="6"/>
  <c r="J53" i="6"/>
  <c r="H53" i="6"/>
  <c r="F53" i="6"/>
  <c r="G52" i="6"/>
  <c r="J52" i="6"/>
  <c r="H52" i="6"/>
  <c r="F52" i="6"/>
  <c r="J51" i="6"/>
  <c r="H51" i="6"/>
  <c r="G51" i="6"/>
  <c r="F51" i="6"/>
  <c r="G50" i="6"/>
  <c r="J50" i="6"/>
  <c r="H50" i="6"/>
  <c r="F50" i="6"/>
  <c r="G49" i="6"/>
  <c r="J49" i="6"/>
  <c r="H49" i="6"/>
  <c r="F49" i="6"/>
  <c r="J48" i="6"/>
  <c r="H48" i="6"/>
  <c r="G48" i="6"/>
  <c r="F48" i="6"/>
  <c r="G47" i="6"/>
  <c r="J47" i="6"/>
  <c r="H47" i="6"/>
  <c r="F47" i="6"/>
  <c r="J46" i="6"/>
  <c r="H46" i="6"/>
  <c r="F46" i="6"/>
  <c r="J45" i="6"/>
  <c r="H45" i="6"/>
  <c r="G45" i="6"/>
  <c r="F45" i="6"/>
  <c r="G44" i="6"/>
  <c r="J44" i="6"/>
  <c r="H44" i="6"/>
  <c r="F44" i="6"/>
  <c r="J43" i="6"/>
  <c r="H43" i="6"/>
  <c r="F43" i="6"/>
  <c r="J42" i="6"/>
  <c r="H42" i="6"/>
  <c r="G42" i="6"/>
  <c r="F42" i="6"/>
  <c r="G41" i="6"/>
  <c r="J41" i="6"/>
  <c r="H41" i="6"/>
  <c r="F41" i="6"/>
  <c r="J40" i="6"/>
  <c r="H40" i="6"/>
  <c r="F40" i="6"/>
  <c r="J39" i="6"/>
  <c r="H39" i="6"/>
  <c r="G39" i="6"/>
  <c r="F39" i="6"/>
  <c r="G38" i="6"/>
  <c r="J38" i="6"/>
  <c r="H38" i="6"/>
  <c r="F38" i="6"/>
  <c r="J37" i="6"/>
  <c r="J36" i="6"/>
  <c r="H36" i="6"/>
  <c r="G36" i="6"/>
  <c r="F36" i="6"/>
  <c r="J35" i="6"/>
  <c r="J34" i="6"/>
  <c r="J33" i="6"/>
  <c r="H33" i="6"/>
  <c r="G33" i="6"/>
  <c r="F33" i="6"/>
  <c r="J32" i="6"/>
  <c r="J31" i="6"/>
  <c r="J30" i="6"/>
  <c r="H30" i="6"/>
  <c r="G30" i="6"/>
  <c r="F30" i="6"/>
  <c r="J29" i="6"/>
  <c r="J28" i="6"/>
  <c r="J27" i="6"/>
  <c r="H27" i="6"/>
  <c r="G27" i="6"/>
  <c r="F27" i="6"/>
  <c r="J26" i="6"/>
  <c r="J25" i="6"/>
  <c r="J24" i="6"/>
  <c r="H24" i="6"/>
  <c r="G24" i="6"/>
  <c r="F24" i="6"/>
  <c r="J23" i="6"/>
  <c r="J22" i="6"/>
  <c r="J21" i="6"/>
  <c r="H21" i="6"/>
  <c r="G21" i="6"/>
  <c r="F21" i="6"/>
  <c r="J20" i="6"/>
  <c r="J19" i="6"/>
  <c r="J18" i="6"/>
  <c r="H18" i="6"/>
  <c r="G18" i="6"/>
  <c r="F18" i="6"/>
  <c r="J17" i="6"/>
  <c r="J16" i="6"/>
  <c r="J15" i="6"/>
  <c r="J14" i="6"/>
  <c r="E58" i="5"/>
  <c r="D58" i="5"/>
  <c r="C58" i="5"/>
  <c r="E57" i="5"/>
  <c r="D57" i="5"/>
  <c r="C57" i="5"/>
  <c r="E56" i="5"/>
  <c r="D56" i="5"/>
  <c r="C56" i="5"/>
  <c r="F58" i="5"/>
  <c r="F57" i="5"/>
  <c r="F56" i="5"/>
</calcChain>
</file>

<file path=xl/sharedStrings.xml><?xml version="1.0" encoding="utf-8"?>
<sst xmlns="http://schemas.openxmlformats.org/spreadsheetml/2006/main" count="270" uniqueCount="117">
  <si>
    <t>Single</t>
  </si>
  <si>
    <t>No of Weeks</t>
  </si>
  <si>
    <t>Paper Tickets</t>
  </si>
  <si>
    <t>Opal Card</t>
  </si>
  <si>
    <t>Wkly</t>
  </si>
  <si>
    <t>Mthly</t>
  </si>
  <si>
    <t>Qtrly</t>
  </si>
  <si>
    <t>Yrly</t>
  </si>
  <si>
    <t>MyMulti1</t>
  </si>
  <si>
    <t>MyMulti2</t>
  </si>
  <si>
    <t>MyMulti3</t>
  </si>
  <si>
    <t>Peak</t>
  </si>
  <si>
    <t>Off-Peak</t>
  </si>
  <si>
    <t>Return</t>
  </si>
  <si>
    <t>MyBus1 (0-3km)</t>
  </si>
  <si>
    <t>MyBus2 (3-8km)</t>
  </si>
  <si>
    <t>MyBus3 (8km+)</t>
  </si>
  <si>
    <t>MyTrain1 (0-10km)</t>
  </si>
  <si>
    <t>MyTrain2 (10-20km)</t>
  </si>
  <si>
    <t>MyTrain3 (20-35km)</t>
  </si>
  <si>
    <t>MyTrain4 (35-65km)</t>
  </si>
  <si>
    <t>MyTrain5 (65km+)</t>
  </si>
  <si>
    <t>MyFerry1 (0-9km)</t>
  </si>
  <si>
    <t>MyFerry2 (9km+)</t>
  </si>
  <si>
    <t>Day</t>
  </si>
  <si>
    <t>Fare</t>
  </si>
  <si>
    <t>Fare Cost</t>
  </si>
  <si>
    <t>Actual Cost</t>
  </si>
  <si>
    <t>Day Total Cost</t>
  </si>
  <si>
    <t>Cap</t>
  </si>
  <si>
    <t>Monday</t>
  </si>
  <si>
    <t>Tuesday</t>
  </si>
  <si>
    <t>Wednesday</t>
  </si>
  <si>
    <t>Thursday</t>
  </si>
  <si>
    <t>Friday</t>
  </si>
  <si>
    <t>Saturday</t>
  </si>
  <si>
    <t>Sunday</t>
  </si>
  <si>
    <t>Transfer</t>
  </si>
  <si>
    <t>MyTrain1 Peak (0-10km)</t>
  </si>
  <si>
    <t>MyTrain2 Peak (10-20km)</t>
  </si>
  <si>
    <t>MyTrain3 Peak (20-35km)</t>
  </si>
  <si>
    <t>MyTrain4 Peak (35-65km)</t>
  </si>
  <si>
    <t>MyTrain5 Peak (65km+)</t>
  </si>
  <si>
    <t>MyTrain1 Off-Peak (0-10km)</t>
  </si>
  <si>
    <t>MyTrain2 Off-Peak (10-20km)</t>
  </si>
  <si>
    <t>MyTrain3 Off-Peak (20-35km)</t>
  </si>
  <si>
    <t>MyTrain4 Off-Peak (35-65km)</t>
  </si>
  <si>
    <t>MyTrain5 Off-Peak (65km+)</t>
  </si>
  <si>
    <t>Cost</t>
  </si>
  <si>
    <t>Y</t>
  </si>
  <si>
    <t>%StartingDayCost%</t>
  </si>
  <si>
    <t>%Calculate%</t>
  </si>
  <si>
    <t>Paid Journeys</t>
  </si>
  <si>
    <t>%DailyCap%</t>
  </si>
  <si>
    <t>Your weekly total travel cost is:</t>
  </si>
  <si>
    <t>No of paid journeys required to earn weekly travel reward</t>
  </si>
  <si>
    <t>No of Days</t>
  </si>
  <si>
    <t>OP Rtn</t>
  </si>
  <si>
    <t>Best Case</t>
  </si>
  <si>
    <t>Worse Case</t>
  </si>
  <si>
    <t>Calculate Best/Worse case for MyTrain 5</t>
  </si>
  <si>
    <t xml:space="preserve"> 2xP </t>
  </si>
  <si>
    <t xml:space="preserve"> 1xP + 1xOP </t>
  </si>
  <si>
    <t xml:space="preserve"> 2xOP </t>
  </si>
  <si>
    <t>Worst Case</t>
  </si>
  <si>
    <t>Q</t>
  </si>
  <si>
    <t>M</t>
  </si>
  <si>
    <t>W</t>
  </si>
  <si>
    <t>Opal Card Weekly Travel Cost - Train</t>
  </si>
  <si>
    <t>Commute sometimes during off-peak</t>
  </si>
  <si>
    <t>Make additional off-peak MyTrain1 Journeys before achieving weekly travel reward</t>
  </si>
  <si>
    <t>1 per day</t>
  </si>
  <si>
    <t>2 per day</t>
  </si>
  <si>
    <t>1xP</t>
  </si>
  <si>
    <t>1xP + 1xMT1</t>
  </si>
  <si>
    <t>Cheaper than a Quarterly</t>
  </si>
  <si>
    <t>1xP + 1xMB1</t>
  </si>
  <si>
    <t>Make additional off-peak MyBus1 Journeys before achieving weekly travel reward</t>
  </si>
  <si>
    <t>MyTrain5 (65km+) - 2/day</t>
  </si>
  <si>
    <t>MyTrain5 (65km+) - 1/day</t>
  </si>
  <si>
    <t>No of Off-Peak
MyTrain1 Journeys</t>
  </si>
  <si>
    <t>MyTrain5 (65km+) - Best</t>
  </si>
  <si>
    <t>MyTrain5 (65km+) - Worst</t>
  </si>
  <si>
    <t xml:space="preserve">
</t>
  </si>
  <si>
    <t>Cheaper than a
Weekly</t>
  </si>
  <si>
    <t>Cheaper than a
Monthly</t>
  </si>
  <si>
    <t>No of
MyBus1 Journeys</t>
  </si>
  <si>
    <t>No of Off-Peak
Commutes</t>
  </si>
  <si>
    <t>2014 Ticket Prices</t>
  </si>
  <si>
    <t>2014 Weekly Travel Cost</t>
  </si>
  <si>
    <t>2014 Opal Card Weekly Travel Cost Compared to Paper Tickets</t>
  </si>
  <si>
    <t>Paper Ticket Type</t>
  </si>
  <si>
    <t>No of off-peak journeys required for Opal card to break even</t>
  </si>
  <si>
    <t>No of off-peak MyTrain1 journeys required for Opal card to break even</t>
  </si>
  <si>
    <t>Trips</t>
  </si>
  <si>
    <t>Non-Travel Weeks</t>
  </si>
  <si>
    <t>Your Cost</t>
  </si>
  <si>
    <t>Advanced</t>
  </si>
  <si>
    <t>List the trips that comprise your normal commute (one way)</t>
  </si>
  <si>
    <t>Cost Per Journey</t>
  </si>
  <si>
    <t>Cost Per Day (2 Journeys)</t>
  </si>
  <si>
    <t>Cost Per Week (8 Journeys)</t>
  </si>
  <si>
    <t>Instructions:</t>
  </si>
  <si>
    <t>Opal Card - Basic Fare Calculator</t>
  </si>
  <si>
    <t>Go back to the "Weekly Cost Comparison" tab to see how your cost compares to the various paper tickets available.</t>
  </si>
  <si>
    <t>Opal Card - Advanced Fare Calculator</t>
  </si>
  <si>
    <t>List - in order - all of the trips that you woud make in a typical week. (Fill in the yellow cells)</t>
  </si>
  <si>
    <t>Opal Card - Weekly Cost Comparison</t>
  </si>
  <si>
    <t>Enter the number of weeks that you will not be travelling e.g. because you are on holiday. (Fill in the yellow cells.) This will adjust the effective weekly travel cost of quarterly and yearly paper tickets.</t>
  </si>
  <si>
    <t>- If your commute is always the same and you make no other trips during the week, enter your trip details into the basic fare calculator (separate tab).
- If your commute varies during the week, or you make other additional journeys during the week, enter your trip details into the advanced fare calculator (separate tab).
- Select below (yellow cell) which calculator you used.</t>
  </si>
  <si>
    <t>Calculator used:</t>
  </si>
  <si>
    <t>In the table below, you can compare your weekly / monthly / quarterly / yearly travel cost with the cost of equivalent paper tickets.</t>
  </si>
  <si>
    <t>In the table below, you can compare your weekly travel cost with the equivalent weekly cost of the various paper tickets.</t>
  </si>
  <si>
    <t>Red cells = tickets that cost less than using an Opal card for the equivalent period, based on YOUR travel requirements.</t>
  </si>
  <si>
    <t>Green cells = tickets that cost more than using an Opal card for the equivalent period, based on YOUR travel requirements.</t>
  </si>
  <si>
    <t>Green cells = tickets whose weekly travel cost is less than using an Opal card, based on YOUR travel requirements.</t>
  </si>
  <si>
    <t>Red cells = tickets whose weekly travel cost is more than using an Opal card, based on YOUR travel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</si>
</sst>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000000"/>
      <name val="Arial"/>
      <family val="2"/>
    </font>
    <font>
      <sz val="12"/>
      <color theme="1"/>
      <name val="Arial"/>
      <family val="2"/>
    </font>
    <font>
      <sz val="12"/>
      <color rgb="FF9C0006"/>
      <name val="Helvetica Neue"/>
    </font>
    <font>
      <sz val="12"/>
      <color rgb="FF9C6500"/>
      <name val="Helvetica Neue"/>
    </font>
    <font>
      <sz val="12"/>
      <color rgb="FF006100"/>
      <name val="Helvetica Neue"/>
    </font>
    <font>
      <sz val="12"/>
      <color rgb="FF000000"/>
      <name val="Helvetica Neue"/>
    </font>
    <font>
      <b/>
      <sz val="12"/>
      <color rgb="FF000000"/>
      <name val="Helvetica Neue"/>
    </font>
    <font>
      <u/>
      <sz val="12"/>
      <color rgb="FF000000"/>
      <name val="Helvetica Neue"/>
    </font>
    <font>
      <sz val="12"/>
      <name val="Helvetica Neue"/>
    </font>
    <font>
      <b/>
      <sz val="12"/>
      <color theme="1"/>
      <name val="Arial"/>
      <family val="2"/>
    </font>
    <font>
      <sz val="10"/>
      <color theme="1"/>
      <name val="Arial"/>
      <family val="2"/>
    </font>
    <font>
      <b/>
      <sz val="10"/>
      <color theme="1"/>
      <name val="Arial"/>
      <family val="2"/>
    </font>
    <font>
      <b/>
      <sz val="14"/>
      <color theme="1"/>
      <name val="Arial"/>
      <family val="2"/>
    </font>
    <font>
      <b/>
      <sz val="20"/>
      <color theme="1"/>
      <name val="Arial"/>
      <family val="2"/>
    </font>
  </fonts>
  <fills count="9">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bgColor rgb="FF000000"/>
      </patternFill>
    </fill>
    <fill>
      <patternFill patternType="solid">
        <fgColor rgb="FFFFFF9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double">
        <color indexed="64"/>
      </bottom>
      <diagonal/>
    </border>
    <border>
      <left/>
      <right/>
      <top style="thin">
        <color indexed="64"/>
      </top>
      <bottom/>
      <diagonal/>
    </border>
  </borders>
  <cellStyleXfs count="100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5">
    <xf numFmtId="0" fontId="0" fillId="0" borderId="0" xfId="0"/>
    <xf numFmtId="0" fontId="0" fillId="0" borderId="0" xfId="0" applyAlignment="1">
      <alignment vertical="center"/>
    </xf>
    <xf numFmtId="0" fontId="7" fillId="0" borderId="1" xfId="0" applyFont="1" applyBorder="1" applyAlignment="1">
      <alignment vertical="center"/>
    </xf>
    <xf numFmtId="0" fontId="8" fillId="0" borderId="0" xfId="0" applyFont="1" applyAlignment="1">
      <alignment vertical="center"/>
    </xf>
    <xf numFmtId="0" fontId="7" fillId="0" borderId="1" xfId="0" applyFont="1" applyFill="1" applyBorder="1" applyAlignment="1">
      <alignment vertical="center"/>
    </xf>
    <xf numFmtId="0" fontId="8" fillId="0" borderId="1" xfId="0" applyFont="1" applyBorder="1" applyAlignment="1">
      <alignment vertical="center"/>
    </xf>
    <xf numFmtId="0" fontId="8" fillId="0" borderId="1" xfId="0" applyFont="1" applyBorder="1" applyAlignment="1">
      <alignment horizontal="left" vertical="center"/>
    </xf>
    <xf numFmtId="44" fontId="8" fillId="0" borderId="1" xfId="2" applyFont="1" applyBorder="1" applyAlignment="1">
      <alignment horizontal="center" vertical="center"/>
    </xf>
    <xf numFmtId="44" fontId="8" fillId="2" borderId="1" xfId="2" applyFont="1" applyFill="1" applyBorder="1" applyAlignment="1">
      <alignment horizontal="center" vertical="center"/>
    </xf>
    <xf numFmtId="0" fontId="8" fillId="0" borderId="1" xfId="0" applyFont="1" applyFill="1" applyBorder="1" applyAlignment="1">
      <alignment horizontal="left" vertical="center"/>
    </xf>
    <xf numFmtId="44" fontId="8" fillId="0" borderId="1" xfId="2" applyFont="1" applyBorder="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13" fillId="7" borderId="5" xfId="0" applyFont="1" applyFill="1" applyBorder="1" applyAlignment="1">
      <alignment horizontal="center" vertical="center" wrapText="1"/>
    </xf>
    <xf numFmtId="0" fontId="13" fillId="7" borderId="4" xfId="0" applyFont="1" applyFill="1" applyBorder="1" applyAlignment="1">
      <alignment horizontal="center" vertical="center"/>
    </xf>
    <xf numFmtId="0" fontId="12" fillId="0" borderId="0" xfId="0" applyFont="1" applyAlignment="1">
      <alignment vertical="center"/>
    </xf>
    <xf numFmtId="44" fontId="12" fillId="0" borderId="0" xfId="0" applyNumberFormat="1" applyFont="1" applyAlignment="1">
      <alignment vertical="center"/>
    </xf>
    <xf numFmtId="44" fontId="12" fillId="0" borderId="0" xfId="0" applyNumberFormat="1" applyFont="1" applyAlignment="1">
      <alignment horizontal="center" vertical="center"/>
    </xf>
    <xf numFmtId="0" fontId="12" fillId="7" borderId="0" xfId="0" applyFont="1" applyFill="1" applyAlignment="1">
      <alignment vertical="center"/>
    </xf>
    <xf numFmtId="0" fontId="0" fillId="6" borderId="0" xfId="0" applyFill="1" applyAlignment="1">
      <alignment vertical="center"/>
    </xf>
    <xf numFmtId="0" fontId="12" fillId="7" borderId="5" xfId="0" applyFont="1" applyFill="1" applyBorder="1" applyAlignment="1">
      <alignment horizontal="left" vertical="center"/>
    </xf>
    <xf numFmtId="43" fontId="15" fillId="7" borderId="1" xfId="0" applyNumberFormat="1" applyFont="1" applyFill="1" applyBorder="1" applyAlignment="1">
      <alignment vertical="center"/>
    </xf>
    <xf numFmtId="44" fontId="0" fillId="0" borderId="0" xfId="0" applyNumberFormat="1" applyAlignment="1">
      <alignment vertical="center"/>
    </xf>
    <xf numFmtId="0" fontId="12" fillId="6" borderId="0" xfId="0" applyFont="1"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17" fillId="0" borderId="0" xfId="0" applyFont="1" applyAlignment="1">
      <alignment vertical="center"/>
    </xf>
    <xf numFmtId="44" fontId="17" fillId="0" borderId="0" xfId="2" applyFont="1" applyAlignment="1">
      <alignment vertical="center"/>
    </xf>
    <xf numFmtId="0" fontId="18" fillId="0" borderId="0" xfId="0" applyFont="1" applyAlignment="1">
      <alignment vertical="center"/>
    </xf>
    <xf numFmtId="0" fontId="17" fillId="0" borderId="0" xfId="0" applyFont="1" applyAlignment="1">
      <alignment vertical="center" wrapText="1"/>
    </xf>
    <xf numFmtId="0" fontId="18" fillId="0" borderId="1" xfId="0" applyFont="1" applyBorder="1" applyAlignment="1">
      <alignment vertical="center"/>
    </xf>
    <xf numFmtId="44" fontId="17" fillId="0" borderId="1" xfId="2" applyFont="1" applyBorder="1" applyAlignment="1">
      <alignment vertical="center"/>
    </xf>
    <xf numFmtId="44" fontId="17" fillId="0" borderId="7" xfId="2" applyFont="1" applyBorder="1" applyAlignment="1">
      <alignment vertical="center"/>
    </xf>
    <xf numFmtId="0" fontId="17" fillId="0" borderId="9" xfId="0" applyFont="1" applyBorder="1" applyAlignment="1">
      <alignment vertical="center"/>
    </xf>
    <xf numFmtId="44" fontId="17" fillId="0" borderId="9" xfId="2" applyFont="1" applyBorder="1" applyAlignment="1">
      <alignment vertical="center"/>
    </xf>
    <xf numFmtId="0" fontId="17" fillId="0" borderId="0" xfId="0" applyFont="1" applyBorder="1" applyAlignment="1">
      <alignment vertical="center"/>
    </xf>
    <xf numFmtId="44" fontId="17" fillId="0" borderId="0" xfId="2" applyFont="1" applyBorder="1" applyAlignment="1">
      <alignment vertical="center"/>
    </xf>
    <xf numFmtId="0" fontId="17" fillId="0" borderId="8" xfId="0" applyFont="1" applyBorder="1" applyAlignment="1">
      <alignment vertical="center"/>
    </xf>
    <xf numFmtId="44" fontId="17" fillId="0" borderId="8" xfId="2" applyFont="1" applyBorder="1" applyAlignment="1">
      <alignment vertical="center"/>
    </xf>
    <xf numFmtId="0" fontId="17" fillId="0" borderId="0" xfId="0" applyFont="1" applyAlignment="1">
      <alignment horizontal="center" vertical="center"/>
    </xf>
    <xf numFmtId="44" fontId="17" fillId="0" borderId="0" xfId="2" applyFont="1" applyAlignment="1">
      <alignment horizontal="center" vertical="center"/>
    </xf>
    <xf numFmtId="0" fontId="18" fillId="0" borderId="1" xfId="0" applyFont="1" applyBorder="1" applyAlignment="1">
      <alignment horizontal="center" vertical="center"/>
    </xf>
    <xf numFmtId="44" fontId="18" fillId="0" borderId="1" xfId="2" applyFont="1" applyBorder="1" applyAlignment="1">
      <alignment horizontal="center" vertical="center"/>
    </xf>
    <xf numFmtId="0" fontId="17" fillId="0" borderId="1" xfId="0" applyFont="1" applyBorder="1" applyAlignment="1">
      <alignment horizontal="center" vertical="center"/>
    </xf>
    <xf numFmtId="0" fontId="17" fillId="0" borderId="1" xfId="2" applyNumberFormat="1" applyFont="1" applyBorder="1" applyAlignment="1">
      <alignment horizontal="center" vertical="center"/>
    </xf>
    <xf numFmtId="44" fontId="17" fillId="0" borderId="1" xfId="2" applyFont="1" applyBorder="1" applyAlignment="1">
      <alignment horizontal="center" vertical="center"/>
    </xf>
    <xf numFmtId="44" fontId="17" fillId="0" borderId="1" xfId="0" applyNumberFormat="1" applyFont="1" applyBorder="1" applyAlignment="1">
      <alignment horizontal="center" vertical="center"/>
    </xf>
    <xf numFmtId="0" fontId="20" fillId="0" borderId="0" xfId="0" applyFont="1" applyAlignment="1">
      <alignment vertical="center"/>
    </xf>
    <xf numFmtId="0" fontId="17" fillId="8" borderId="1" xfId="0" applyFont="1" applyFill="1" applyBorder="1" applyAlignment="1">
      <alignment horizontal="center" vertical="center"/>
    </xf>
    <xf numFmtId="0" fontId="17" fillId="8" borderId="1" xfId="0" applyFont="1" applyFill="1" applyBorder="1" applyAlignment="1">
      <alignment vertical="center"/>
    </xf>
    <xf numFmtId="0" fontId="8" fillId="0" borderId="0" xfId="0" applyFont="1" applyFill="1" applyBorder="1" applyAlignment="1">
      <alignment vertical="center"/>
    </xf>
    <xf numFmtId="0" fontId="20" fillId="0" borderId="0" xfId="0" applyFont="1" applyFill="1" applyBorder="1" applyAlignment="1">
      <alignment vertical="center"/>
    </xf>
    <xf numFmtId="0" fontId="16" fillId="0" borderId="7" xfId="0" applyFont="1" applyFill="1" applyBorder="1" applyAlignment="1">
      <alignment horizontal="center" vertical="center"/>
    </xf>
    <xf numFmtId="0" fontId="16" fillId="0" borderId="1" xfId="0" applyFont="1" applyFill="1" applyBorder="1" applyAlignment="1">
      <alignment vertical="center"/>
    </xf>
    <xf numFmtId="0" fontId="8" fillId="8" borderId="1" xfId="0" applyFont="1" applyFill="1" applyBorder="1" applyAlignment="1">
      <alignment vertical="center"/>
    </xf>
    <xf numFmtId="0" fontId="16" fillId="0" borderId="0" xfId="0" applyFont="1" applyFill="1" applyBorder="1" applyAlignment="1">
      <alignment vertical="center"/>
    </xf>
    <xf numFmtId="44" fontId="8" fillId="0" borderId="1" xfId="0" applyNumberFormat="1" applyFont="1" applyFill="1" applyBorder="1" applyAlignment="1">
      <alignment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43" fontId="8" fillId="0" borderId="1" xfId="1" applyFont="1" applyFill="1" applyBorder="1" applyAlignment="1">
      <alignment vertical="center"/>
    </xf>
    <xf numFmtId="44" fontId="8" fillId="0" borderId="0" xfId="2" applyFont="1" applyFill="1" applyBorder="1" applyAlignment="1">
      <alignment horizontal="center" vertical="center"/>
    </xf>
    <xf numFmtId="44" fontId="8" fillId="0" borderId="0" xfId="0" applyNumberFormat="1" applyFont="1" applyFill="1" applyBorder="1" applyAlignment="1">
      <alignment vertical="center"/>
    </xf>
    <xf numFmtId="44" fontId="8" fillId="0" borderId="0" xfId="2" applyFont="1" applyFill="1" applyBorder="1" applyAlignment="1">
      <alignment vertical="center"/>
    </xf>
    <xf numFmtId="0" fontId="8" fillId="0" borderId="0" xfId="0" applyFont="1" applyFill="1" applyBorder="1" applyAlignment="1">
      <alignment horizontal="center" vertical="center"/>
    </xf>
    <xf numFmtId="2" fontId="16" fillId="0" borderId="1" xfId="0" applyNumberFormat="1" applyFont="1" applyFill="1" applyBorder="1" applyAlignment="1">
      <alignment horizontal="center" vertical="center"/>
    </xf>
    <xf numFmtId="43" fontId="8" fillId="0" borderId="1" xfId="1" applyFont="1" applyFill="1" applyBorder="1" applyAlignment="1">
      <alignment horizontal="center" vertical="center"/>
    </xf>
    <xf numFmtId="43" fontId="8" fillId="0" borderId="0" xfId="0" applyNumberFormat="1" applyFont="1" applyFill="1" applyBorder="1" applyAlignment="1">
      <alignment vertical="center"/>
    </xf>
    <xf numFmtId="0" fontId="8" fillId="0" borderId="0" xfId="0" applyFont="1" applyFill="1" applyBorder="1" applyAlignment="1">
      <alignment horizontal="left" vertical="center"/>
    </xf>
    <xf numFmtId="43" fontId="8" fillId="0" borderId="0" xfId="1" applyFont="1" applyFill="1" applyBorder="1" applyAlignment="1">
      <alignment horizontal="center" vertical="center"/>
    </xf>
    <xf numFmtId="43" fontId="8" fillId="0" borderId="0" xfId="1" applyFont="1" applyFill="1" applyBorder="1" applyAlignment="1">
      <alignment vertical="center"/>
    </xf>
    <xf numFmtId="2" fontId="8" fillId="0" borderId="1" xfId="1" applyNumberFormat="1" applyFont="1" applyFill="1" applyBorder="1" applyAlignment="1">
      <alignment horizontal="center" vertical="center"/>
    </xf>
    <xf numFmtId="9" fontId="8" fillId="0" borderId="1" xfId="3" applyFont="1" applyFill="1" applyBorder="1" applyAlignment="1">
      <alignment horizontal="center" vertical="center"/>
    </xf>
    <xf numFmtId="0" fontId="16" fillId="0" borderId="1"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quotePrefix="1" applyFont="1" applyFill="1" applyBorder="1" applyAlignment="1">
      <alignment horizontal="left" vertical="center" wrapText="1"/>
    </xf>
    <xf numFmtId="44" fontId="19" fillId="0" borderId="2" xfId="2" applyFont="1" applyBorder="1" applyAlignment="1">
      <alignment horizontal="center" vertical="center"/>
    </xf>
    <xf numFmtId="44" fontId="19" fillId="0" borderId="3" xfId="2"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13" fillId="7" borderId="2"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3" xfId="0" applyFont="1" applyFill="1" applyBorder="1" applyAlignment="1">
      <alignment horizontal="center" vertical="center"/>
    </xf>
    <xf numFmtId="0" fontId="9" fillId="4" borderId="2" xfId="521" applyFont="1" applyBorder="1" applyAlignment="1">
      <alignment horizontal="center" vertical="center" wrapText="1"/>
    </xf>
    <xf numFmtId="0" fontId="9" fillId="4" borderId="6" xfId="521" applyFont="1" applyBorder="1" applyAlignment="1">
      <alignment horizontal="center" vertical="center" wrapText="1"/>
    </xf>
    <xf numFmtId="0" fontId="10" fillId="5" borderId="2" xfId="522" applyFont="1" applyBorder="1" applyAlignment="1">
      <alignment horizontal="center" vertical="center" wrapText="1"/>
    </xf>
    <xf numFmtId="0" fontId="10" fillId="5" borderId="6" xfId="522" applyFont="1" applyBorder="1" applyAlignment="1">
      <alignment horizontal="center" vertical="center" wrapText="1"/>
    </xf>
    <xf numFmtId="0" fontId="11" fillId="3" borderId="2" xfId="520" applyFont="1" applyBorder="1" applyAlignment="1">
      <alignment horizontal="center" vertical="center" wrapText="1"/>
    </xf>
    <xf numFmtId="0" fontId="11" fillId="3" borderId="6" xfId="520" applyFont="1" applyBorder="1" applyAlignment="1">
      <alignment horizontal="center" vertical="center" wrapText="1"/>
    </xf>
    <xf numFmtId="0" fontId="11" fillId="3" borderId="3" xfId="520" applyFont="1" applyBorder="1" applyAlignment="1">
      <alignment horizontal="center" vertical="center" wrapText="1"/>
    </xf>
    <xf numFmtId="0" fontId="14" fillId="0" borderId="0" xfId="0" applyFont="1" applyAlignment="1">
      <alignment horizontal="center" vertical="center"/>
    </xf>
    <xf numFmtId="0" fontId="0" fillId="0" borderId="0" xfId="0" applyAlignment="1">
      <alignment vertical="center"/>
    </xf>
    <xf numFmtId="0" fontId="16" fillId="0" borderId="1" xfId="0" applyFont="1" applyFill="1" applyBorder="1" applyAlignment="1">
      <alignment horizontal="left" vertical="center"/>
    </xf>
    <xf numFmtId="43" fontId="16" fillId="0" borderId="1" xfId="1" applyFont="1" applyFill="1" applyBorder="1" applyAlignment="1">
      <alignment vertical="center"/>
    </xf>
  </cellXfs>
  <cellStyles count="1001">
    <cellStyle name="Bad" xfId="521" builtinId="27"/>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Good" xfId="520" builtinId="26"/>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Neutral" xfId="522" builtinId="28"/>
    <cellStyle name="Normal" xfId="0" builtinId="0"/>
    <cellStyle name="Percent" xfId="3" builtinId="5"/>
  </cellStyles>
  <dxfs count="35">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pal%20Card%20Fare%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Fare Calculator"/>
    </sheetNames>
    <sheetDataSet>
      <sheetData sheetId="0">
        <row r="95">
          <cell r="A95" t="str">
            <v>Monday</v>
          </cell>
          <cell r="B95">
            <v>15</v>
          </cell>
        </row>
        <row r="96">
          <cell r="A96" t="str">
            <v>Tuesday</v>
          </cell>
          <cell r="B96">
            <v>15</v>
          </cell>
        </row>
        <row r="97">
          <cell r="A97" t="str">
            <v>Wednesday</v>
          </cell>
          <cell r="B97">
            <v>15</v>
          </cell>
        </row>
        <row r="98">
          <cell r="A98" t="str">
            <v>Thursday</v>
          </cell>
          <cell r="B98">
            <v>15</v>
          </cell>
        </row>
        <row r="99">
          <cell r="A99" t="str">
            <v>Friday</v>
          </cell>
          <cell r="B99">
            <v>15</v>
          </cell>
        </row>
        <row r="100">
          <cell r="A100" t="str">
            <v>Saturday</v>
          </cell>
          <cell r="B100">
            <v>15</v>
          </cell>
        </row>
        <row r="101">
          <cell r="A101" t="str">
            <v>Sunday</v>
          </cell>
          <cell r="B101">
            <v>2.5</v>
          </cell>
        </row>
        <row r="104">
          <cell r="B104">
            <v>8</v>
          </cell>
        </row>
        <row r="108">
          <cell r="B108" t="str">
            <v>Peak</v>
          </cell>
          <cell r="C108" t="str">
            <v>Off-Peak</v>
          </cell>
          <cell r="E108" t="str">
            <v>Yearly</v>
          </cell>
          <cell r="F108" t="str">
            <v>Quarterly</v>
          </cell>
          <cell r="G108" t="str">
            <v>Monthly</v>
          </cell>
          <cell r="H108" t="str">
            <v>Weekly</v>
          </cell>
        </row>
        <row r="109">
          <cell r="A109" t="str">
            <v>MyTrain 1 (0-10km)</v>
          </cell>
          <cell r="B109">
            <v>3.3</v>
          </cell>
          <cell r="C109">
            <v>2.31</v>
          </cell>
          <cell r="E109">
            <v>1080</v>
          </cell>
          <cell r="F109">
            <v>270</v>
          </cell>
          <cell r="G109">
            <v>98</v>
          </cell>
          <cell r="H109">
            <v>27</v>
          </cell>
        </row>
        <row r="110">
          <cell r="A110" t="str">
            <v>MyTrain 2 (10-20km)</v>
          </cell>
          <cell r="B110">
            <v>4.0999999999999996</v>
          </cell>
          <cell r="C110">
            <v>2.87</v>
          </cell>
          <cell r="E110">
            <v>1360</v>
          </cell>
          <cell r="F110">
            <v>340</v>
          </cell>
          <cell r="G110">
            <v>124</v>
          </cell>
          <cell r="H110">
            <v>34</v>
          </cell>
        </row>
        <row r="111">
          <cell r="A111" t="str">
            <v>MyTrain 3 (20-35km)</v>
          </cell>
          <cell r="B111">
            <v>4.7</v>
          </cell>
          <cell r="C111">
            <v>3.29</v>
          </cell>
          <cell r="E111">
            <v>1600</v>
          </cell>
          <cell r="F111">
            <v>400</v>
          </cell>
          <cell r="G111">
            <v>146</v>
          </cell>
          <cell r="H111">
            <v>40</v>
          </cell>
        </row>
        <row r="112">
          <cell r="A112" t="str">
            <v>MyTrain 4 (35-65km)</v>
          </cell>
          <cell r="B112">
            <v>6.3</v>
          </cell>
          <cell r="C112">
            <v>4.41</v>
          </cell>
          <cell r="E112">
            <v>2040</v>
          </cell>
          <cell r="F112">
            <v>510</v>
          </cell>
          <cell r="G112">
            <v>186</v>
          </cell>
          <cell r="H112">
            <v>51</v>
          </cell>
        </row>
        <row r="113">
          <cell r="A113" t="str">
            <v>MyTrain 5 (65km+)</v>
          </cell>
          <cell r="B113">
            <v>8.1</v>
          </cell>
          <cell r="C113">
            <v>5.67</v>
          </cell>
          <cell r="E113">
            <v>2400</v>
          </cell>
          <cell r="F113">
            <v>600</v>
          </cell>
          <cell r="G113">
            <v>218</v>
          </cell>
          <cell r="H113">
            <v>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93"/>
  <sheetViews>
    <sheetView tabSelected="1" zoomScale="85" zoomScaleNormal="85" zoomScalePageLayoutView="125" workbookViewId="0">
      <selection activeCell="N39" sqref="N39"/>
    </sheetView>
  </sheetViews>
  <sheetFormatPr defaultColWidth="10.875" defaultRowHeight="15"/>
  <cols>
    <col min="1" max="1" width="10.875" style="50"/>
    <col min="2" max="2" width="21.375" style="50" customWidth="1"/>
    <col min="3" max="3" width="10.75" style="50" bestFit="1" customWidth="1"/>
    <col min="4" max="6" width="9.125" style="50" bestFit="1" customWidth="1"/>
    <col min="7" max="9" width="9" style="50" customWidth="1"/>
    <col min="10" max="10" width="9.125" style="50" bestFit="1" customWidth="1"/>
    <col min="11" max="11" width="9.625" style="50" bestFit="1" customWidth="1"/>
    <col min="12" max="12" width="10" style="50" customWidth="1"/>
    <col min="13" max="13" width="13.5" style="50" bestFit="1" customWidth="1"/>
    <col min="14" max="14" width="19" style="50" bestFit="1" customWidth="1"/>
    <col min="15" max="23" width="8.875" style="50" bestFit="1" customWidth="1"/>
    <col min="24" max="24" width="10.875" style="50"/>
    <col min="25" max="25" width="12.125" style="50" bestFit="1" customWidth="1"/>
    <col min="26" max="16384" width="10.875" style="50"/>
  </cols>
  <sheetData>
    <row r="2" spans="2:14" ht="26.25">
      <c r="B2" s="51" t="s">
        <v>107</v>
      </c>
    </row>
    <row r="4" spans="2:14" ht="15.75">
      <c r="B4" s="55" t="s">
        <v>102</v>
      </c>
    </row>
    <row r="5" spans="2:14" ht="42" customHeight="1">
      <c r="B5" s="74" t="s">
        <v>108</v>
      </c>
      <c r="C5" s="74"/>
      <c r="D5" s="74"/>
      <c r="E5" s="74"/>
      <c r="F5" s="74"/>
      <c r="G5" s="74"/>
      <c r="H5" s="74"/>
      <c r="I5" s="74"/>
      <c r="J5" s="74"/>
      <c r="K5" s="74"/>
    </row>
    <row r="7" spans="2:14" ht="15.75">
      <c r="C7" s="52" t="s">
        <v>7</v>
      </c>
      <c r="D7" s="52" t="s">
        <v>6</v>
      </c>
    </row>
    <row r="8" spans="2:14" ht="15.75">
      <c r="B8" s="53" t="s">
        <v>95</v>
      </c>
      <c r="C8" s="54">
        <v>0</v>
      </c>
      <c r="D8" s="54">
        <v>0</v>
      </c>
    </row>
    <row r="9" spans="2:14" ht="15.75">
      <c r="B9" s="55"/>
    </row>
    <row r="10" spans="2:14" ht="90.75" customHeight="1">
      <c r="B10" s="75" t="s">
        <v>109</v>
      </c>
      <c r="C10" s="74"/>
      <c r="D10" s="74"/>
      <c r="E10" s="74"/>
      <c r="F10" s="74"/>
      <c r="G10" s="74"/>
      <c r="H10" s="74"/>
      <c r="I10" s="74"/>
      <c r="J10" s="74"/>
      <c r="K10" s="74"/>
    </row>
    <row r="11" spans="2:14" ht="15.75">
      <c r="B11" s="55"/>
    </row>
    <row r="12" spans="2:14" ht="15.75">
      <c r="B12" s="55" t="s">
        <v>110</v>
      </c>
    </row>
    <row r="13" spans="2:14">
      <c r="B13" s="54" t="s">
        <v>97</v>
      </c>
      <c r="C13" s="56">
        <f>IF(B13="Basic",'Fare Calculator - Basic'!C14,IF(B13="Advanced",'Fare Calculator - Advanced'!J9,0))</f>
        <v>37.6</v>
      </c>
    </row>
    <row r="15" spans="2:14">
      <c r="B15" s="50" t="s">
        <v>111</v>
      </c>
    </row>
    <row r="16" spans="2:14">
      <c r="B16" s="68" t="s">
        <v>114</v>
      </c>
      <c r="C16" s="69"/>
      <c r="D16" s="69"/>
      <c r="E16" s="69"/>
      <c r="F16" s="69"/>
      <c r="G16" s="70"/>
      <c r="H16" s="70"/>
      <c r="I16" s="70"/>
      <c r="J16" s="70"/>
      <c r="K16" s="70"/>
      <c r="L16" s="63"/>
      <c r="M16" s="63"/>
      <c r="N16" s="63"/>
    </row>
    <row r="17" spans="2:23">
      <c r="B17" s="68" t="s">
        <v>113</v>
      </c>
      <c r="C17" s="69"/>
      <c r="D17" s="69"/>
      <c r="E17" s="69"/>
      <c r="F17" s="69"/>
      <c r="G17" s="70"/>
      <c r="H17" s="70"/>
      <c r="I17" s="70"/>
      <c r="J17" s="70"/>
      <c r="K17" s="70"/>
      <c r="L17" s="63"/>
      <c r="M17" s="63"/>
      <c r="N17" s="63"/>
    </row>
    <row r="19" spans="2:23" ht="15.75">
      <c r="B19" s="73" t="s">
        <v>88</v>
      </c>
      <c r="C19" s="73"/>
      <c r="D19" s="73"/>
      <c r="E19" s="73"/>
      <c r="F19" s="73"/>
      <c r="G19" s="73"/>
      <c r="H19" s="73"/>
      <c r="I19" s="73"/>
      <c r="J19" s="73"/>
      <c r="K19" s="73"/>
      <c r="L19" s="57"/>
      <c r="M19" s="57"/>
      <c r="N19" s="57"/>
    </row>
    <row r="20" spans="2:23" ht="15.75">
      <c r="B20" s="58"/>
      <c r="C20" s="73" t="s">
        <v>2</v>
      </c>
      <c r="D20" s="73"/>
      <c r="E20" s="73"/>
      <c r="F20" s="73"/>
      <c r="G20" s="73"/>
      <c r="H20" s="73"/>
      <c r="I20" s="73"/>
      <c r="J20" s="73" t="s">
        <v>3</v>
      </c>
      <c r="K20" s="73"/>
      <c r="L20" s="57"/>
      <c r="M20" s="57"/>
      <c r="N20" s="57"/>
    </row>
    <row r="21" spans="2:23" ht="15.75">
      <c r="B21" s="58"/>
      <c r="C21" s="58" t="s">
        <v>7</v>
      </c>
      <c r="D21" s="58" t="s">
        <v>6</v>
      </c>
      <c r="E21" s="58" t="s">
        <v>5</v>
      </c>
      <c r="F21" s="59" t="s">
        <v>4</v>
      </c>
      <c r="G21" s="58" t="s">
        <v>13</v>
      </c>
      <c r="H21" s="59" t="s">
        <v>57</v>
      </c>
      <c r="I21" s="58" t="s">
        <v>0</v>
      </c>
      <c r="J21" s="58" t="s">
        <v>11</v>
      </c>
      <c r="K21" s="58" t="s">
        <v>12</v>
      </c>
      <c r="L21" s="57"/>
      <c r="M21" s="57"/>
      <c r="N21" s="57"/>
    </row>
    <row r="22" spans="2:23">
      <c r="B22" s="9" t="s">
        <v>17</v>
      </c>
      <c r="C22" s="60">
        <v>1120</v>
      </c>
      <c r="D22" s="60">
        <v>280</v>
      </c>
      <c r="E22" s="60">
        <v>102</v>
      </c>
      <c r="F22" s="60">
        <v>28</v>
      </c>
      <c r="G22" s="60">
        <v>7.6</v>
      </c>
      <c r="H22" s="60">
        <v>5</v>
      </c>
      <c r="I22" s="60">
        <v>3.8</v>
      </c>
      <c r="J22" s="60">
        <v>3.3</v>
      </c>
      <c r="K22" s="60">
        <v>2.31</v>
      </c>
      <c r="L22" s="61"/>
      <c r="M22" s="61"/>
      <c r="N22" s="61"/>
      <c r="O22" s="62"/>
      <c r="P22" s="62"/>
      <c r="Q22" s="62"/>
      <c r="R22" s="62"/>
      <c r="S22" s="62"/>
      <c r="T22" s="62"/>
      <c r="U22" s="62"/>
      <c r="V22" s="62"/>
      <c r="W22" s="62"/>
    </row>
    <row r="23" spans="2:23">
      <c r="B23" s="9" t="s">
        <v>18</v>
      </c>
      <c r="C23" s="60">
        <v>1400</v>
      </c>
      <c r="D23" s="60">
        <v>350</v>
      </c>
      <c r="E23" s="60">
        <v>127</v>
      </c>
      <c r="F23" s="60">
        <v>35</v>
      </c>
      <c r="G23" s="60">
        <v>9.1999999999999993</v>
      </c>
      <c r="H23" s="60">
        <v>6.2</v>
      </c>
      <c r="I23" s="60">
        <v>4.5999999999999996</v>
      </c>
      <c r="J23" s="60">
        <v>4.0999999999999996</v>
      </c>
      <c r="K23" s="60">
        <v>2.87</v>
      </c>
      <c r="L23" s="61"/>
    </row>
    <row r="24" spans="2:23">
      <c r="B24" s="9" t="s">
        <v>19</v>
      </c>
      <c r="C24" s="60">
        <v>1640</v>
      </c>
      <c r="D24" s="60">
        <v>410</v>
      </c>
      <c r="E24" s="60">
        <v>149</v>
      </c>
      <c r="F24" s="60">
        <v>41</v>
      </c>
      <c r="G24" s="60">
        <v>10.4</v>
      </c>
      <c r="H24" s="60">
        <v>7</v>
      </c>
      <c r="I24" s="60">
        <v>5.2</v>
      </c>
      <c r="J24" s="60">
        <v>4.7</v>
      </c>
      <c r="K24" s="60">
        <v>3.29</v>
      </c>
      <c r="L24" s="61"/>
    </row>
    <row r="25" spans="2:23">
      <c r="B25" s="9" t="s">
        <v>20</v>
      </c>
      <c r="C25" s="60">
        <v>2080</v>
      </c>
      <c r="D25" s="60">
        <v>520</v>
      </c>
      <c r="E25" s="60">
        <v>189</v>
      </c>
      <c r="F25" s="60">
        <v>52</v>
      </c>
      <c r="G25" s="60">
        <v>13.6</v>
      </c>
      <c r="H25" s="60">
        <v>9.1999999999999993</v>
      </c>
      <c r="I25" s="60">
        <v>6.8</v>
      </c>
      <c r="J25" s="60">
        <v>6.3</v>
      </c>
      <c r="K25" s="60">
        <v>4.41</v>
      </c>
      <c r="L25" s="61"/>
    </row>
    <row r="26" spans="2:23">
      <c r="B26" s="9" t="s">
        <v>21</v>
      </c>
      <c r="C26" s="60">
        <v>2440</v>
      </c>
      <c r="D26" s="60">
        <v>610</v>
      </c>
      <c r="E26" s="60">
        <v>222</v>
      </c>
      <c r="F26" s="60">
        <v>61</v>
      </c>
      <c r="G26" s="60">
        <v>17.2</v>
      </c>
      <c r="H26" s="60">
        <v>11.8</v>
      </c>
      <c r="I26" s="60">
        <v>8.6</v>
      </c>
      <c r="J26" s="60">
        <v>8.1</v>
      </c>
      <c r="K26" s="60">
        <v>5.67</v>
      </c>
      <c r="L26" s="61"/>
    </row>
    <row r="27" spans="2:23">
      <c r="B27" s="9" t="s">
        <v>14</v>
      </c>
      <c r="C27" s="60"/>
      <c r="D27" s="60"/>
      <c r="E27" s="60"/>
      <c r="F27" s="60">
        <v>18.399999999999999</v>
      </c>
      <c r="G27" s="60"/>
      <c r="H27" s="60"/>
      <c r="I27" s="60">
        <v>2.2999999999999998</v>
      </c>
      <c r="J27" s="60">
        <v>2.1</v>
      </c>
      <c r="K27" s="60"/>
      <c r="L27" s="63"/>
    </row>
    <row r="28" spans="2:23">
      <c r="B28" s="9" t="s">
        <v>15</v>
      </c>
      <c r="C28" s="60"/>
      <c r="D28" s="60"/>
      <c r="E28" s="60"/>
      <c r="F28" s="60">
        <v>29.6</v>
      </c>
      <c r="G28" s="60"/>
      <c r="H28" s="60"/>
      <c r="I28" s="60">
        <v>3.7</v>
      </c>
      <c r="J28" s="60">
        <v>3.5</v>
      </c>
      <c r="K28" s="60"/>
      <c r="L28" s="63"/>
    </row>
    <row r="29" spans="2:23">
      <c r="B29" s="9" t="s">
        <v>16</v>
      </c>
      <c r="C29" s="60"/>
      <c r="D29" s="60"/>
      <c r="E29" s="60"/>
      <c r="F29" s="60">
        <v>36.799999999999997</v>
      </c>
      <c r="G29" s="60"/>
      <c r="H29" s="60"/>
      <c r="I29" s="60">
        <v>4.5999999999999996</v>
      </c>
      <c r="J29" s="60">
        <v>4.5</v>
      </c>
      <c r="K29" s="60"/>
      <c r="L29" s="63"/>
    </row>
    <row r="30" spans="2:23">
      <c r="B30" s="9" t="s">
        <v>22</v>
      </c>
      <c r="C30" s="60"/>
      <c r="D30" s="60"/>
      <c r="E30" s="60"/>
      <c r="F30" s="60">
        <v>48</v>
      </c>
      <c r="G30" s="60">
        <v>12</v>
      </c>
      <c r="H30" s="60"/>
      <c r="I30" s="60">
        <v>6</v>
      </c>
      <c r="J30" s="60">
        <v>5.6</v>
      </c>
      <c r="K30" s="60"/>
      <c r="L30" s="63"/>
    </row>
    <row r="31" spans="2:23">
      <c r="B31" s="9" t="s">
        <v>23</v>
      </c>
      <c r="C31" s="60"/>
      <c r="D31" s="60"/>
      <c r="E31" s="60"/>
      <c r="F31" s="60">
        <v>59.2</v>
      </c>
      <c r="G31" s="60">
        <v>14.8</v>
      </c>
      <c r="H31" s="60"/>
      <c r="I31" s="60">
        <v>7.4</v>
      </c>
      <c r="J31" s="60">
        <v>7</v>
      </c>
      <c r="K31" s="60"/>
      <c r="L31" s="63"/>
    </row>
    <row r="32" spans="2:23">
      <c r="B32" s="9" t="s">
        <v>8</v>
      </c>
      <c r="C32" s="60">
        <v>1748</v>
      </c>
      <c r="D32" s="60">
        <v>484</v>
      </c>
      <c r="E32" s="60">
        <v>175</v>
      </c>
      <c r="F32" s="60">
        <v>46</v>
      </c>
      <c r="G32" s="60"/>
      <c r="H32" s="60"/>
      <c r="I32" s="60"/>
      <c r="J32" s="60"/>
      <c r="K32" s="60"/>
      <c r="L32" s="63"/>
    </row>
    <row r="33" spans="2:24">
      <c r="B33" s="9" t="s">
        <v>9</v>
      </c>
      <c r="C33" s="60">
        <v>2052</v>
      </c>
      <c r="D33" s="60">
        <v>567</v>
      </c>
      <c r="E33" s="60">
        <v>206</v>
      </c>
      <c r="F33" s="60">
        <v>54</v>
      </c>
      <c r="G33" s="60"/>
      <c r="H33" s="60"/>
      <c r="I33" s="60"/>
      <c r="J33" s="60"/>
      <c r="K33" s="60"/>
      <c r="L33" s="63"/>
      <c r="M33" s="63"/>
      <c r="N33" s="63"/>
    </row>
    <row r="34" spans="2:24">
      <c r="B34" s="9" t="s">
        <v>10</v>
      </c>
      <c r="C34" s="60">
        <v>2444</v>
      </c>
      <c r="D34" s="60">
        <v>676</v>
      </c>
      <c r="E34" s="60">
        <v>246</v>
      </c>
      <c r="F34" s="60">
        <v>63</v>
      </c>
      <c r="G34" s="60">
        <v>23</v>
      </c>
      <c r="H34" s="60"/>
      <c r="I34" s="60"/>
      <c r="J34" s="60"/>
      <c r="K34" s="60"/>
      <c r="L34" s="63"/>
      <c r="M34" s="63"/>
      <c r="N34" s="63"/>
    </row>
    <row r="35" spans="2:24" ht="27.75" customHeight="1">
      <c r="B35" s="93" t="s">
        <v>96</v>
      </c>
      <c r="C35" s="94">
        <f>$F$35*C45</f>
        <v>1960.5714285714287</v>
      </c>
      <c r="D35" s="94">
        <f>$F$35*D45</f>
        <v>483.42857142857144</v>
      </c>
      <c r="E35" s="94">
        <f>$F$35*E45</f>
        <v>150.4</v>
      </c>
      <c r="F35" s="94">
        <f>C13</f>
        <v>37.6</v>
      </c>
      <c r="G35" s="94"/>
      <c r="H35" s="94"/>
      <c r="I35" s="94"/>
      <c r="J35" s="94"/>
      <c r="K35" s="94"/>
      <c r="L35" s="63"/>
      <c r="M35" s="63"/>
      <c r="N35" s="63"/>
    </row>
    <row r="36" spans="2:24">
      <c r="B36" s="64"/>
    </row>
    <row r="37" spans="2:24">
      <c r="B37" s="50" t="s">
        <v>112</v>
      </c>
    </row>
    <row r="38" spans="2:24">
      <c r="B38" s="68" t="s">
        <v>115</v>
      </c>
      <c r="C38" s="69"/>
      <c r="D38" s="69"/>
      <c r="E38" s="69"/>
      <c r="F38" s="69"/>
      <c r="G38" s="70"/>
      <c r="H38" s="70"/>
      <c r="I38" s="70"/>
      <c r="J38" s="70"/>
      <c r="K38" s="70"/>
      <c r="L38" s="63"/>
      <c r="M38" s="63"/>
      <c r="N38" s="63"/>
    </row>
    <row r="39" spans="2:24">
      <c r="B39" s="68" t="s">
        <v>116</v>
      </c>
      <c r="C39" s="69"/>
      <c r="D39" s="69"/>
      <c r="E39" s="69"/>
      <c r="F39" s="69"/>
      <c r="G39" s="70"/>
      <c r="H39" s="70"/>
      <c r="I39" s="70"/>
      <c r="J39" s="70"/>
      <c r="K39" s="70"/>
      <c r="L39" s="63"/>
      <c r="M39" s="63"/>
      <c r="N39" s="63"/>
    </row>
    <row r="40" spans="2:24">
      <c r="B40" s="68"/>
      <c r="C40" s="69"/>
      <c r="D40" s="69"/>
      <c r="E40" s="69"/>
      <c r="F40" s="69"/>
      <c r="G40" s="70"/>
      <c r="H40" s="70"/>
      <c r="I40" s="70"/>
      <c r="J40" s="70"/>
      <c r="K40" s="70"/>
      <c r="L40" s="63"/>
      <c r="M40" s="63"/>
      <c r="N40" s="63"/>
    </row>
    <row r="41" spans="2:24" ht="15.75">
      <c r="B41" s="73" t="s">
        <v>89</v>
      </c>
      <c r="C41" s="73"/>
      <c r="D41" s="73"/>
      <c r="E41" s="73"/>
      <c r="F41" s="73"/>
      <c r="G41" s="73"/>
      <c r="H41" s="73"/>
      <c r="I41" s="73"/>
      <c r="J41" s="73"/>
      <c r="K41" s="73"/>
      <c r="L41" s="57"/>
      <c r="M41" s="57"/>
      <c r="X41" s="55"/>
    </row>
    <row r="42" spans="2:24" ht="15.75">
      <c r="B42" s="58"/>
      <c r="C42" s="73" t="s">
        <v>2</v>
      </c>
      <c r="D42" s="73"/>
      <c r="E42" s="73"/>
      <c r="F42" s="73"/>
      <c r="G42" s="73"/>
      <c r="H42" s="73"/>
      <c r="I42" s="73"/>
      <c r="J42" s="73" t="s">
        <v>3</v>
      </c>
      <c r="K42" s="73"/>
      <c r="L42" s="57"/>
      <c r="M42" s="57"/>
    </row>
    <row r="43" spans="2:24" ht="15.75">
      <c r="B43" s="58"/>
      <c r="C43" s="58" t="s">
        <v>7</v>
      </c>
      <c r="D43" s="58" t="s">
        <v>6</v>
      </c>
      <c r="E43" s="58" t="s">
        <v>5</v>
      </c>
      <c r="F43" s="59" t="s">
        <v>4</v>
      </c>
      <c r="G43" s="58" t="s">
        <v>13</v>
      </c>
      <c r="H43" s="59" t="s">
        <v>57</v>
      </c>
      <c r="I43" s="58" t="s">
        <v>0</v>
      </c>
      <c r="J43" s="58" t="s">
        <v>11</v>
      </c>
      <c r="K43" s="58" t="s">
        <v>12</v>
      </c>
      <c r="L43" s="57"/>
      <c r="M43" s="57"/>
    </row>
    <row r="44" spans="2:24" ht="15.75">
      <c r="B44" s="58" t="s">
        <v>56</v>
      </c>
      <c r="C44" s="58">
        <v>365</v>
      </c>
      <c r="D44" s="58">
        <v>90</v>
      </c>
      <c r="E44" s="58">
        <v>28</v>
      </c>
      <c r="F44" s="58">
        <v>7</v>
      </c>
      <c r="G44" s="58">
        <v>1</v>
      </c>
      <c r="H44" s="58">
        <v>1</v>
      </c>
      <c r="I44" s="58"/>
      <c r="J44" s="58"/>
      <c r="K44" s="58"/>
      <c r="L44" s="57"/>
      <c r="M44" s="57"/>
    </row>
    <row r="45" spans="2:24" ht="15.75">
      <c r="B45" s="58" t="s">
        <v>1</v>
      </c>
      <c r="C45" s="65">
        <f>C44/7-C8</f>
        <v>52.142857142857146</v>
      </c>
      <c r="D45" s="65">
        <f>D44/7-D8</f>
        <v>12.857142857142858</v>
      </c>
      <c r="E45" s="58">
        <f t="shared" ref="E45:F45" si="0">E44/7</f>
        <v>4</v>
      </c>
      <c r="F45" s="58">
        <f t="shared" si="0"/>
        <v>1</v>
      </c>
      <c r="G45" s="58">
        <v>0.2</v>
      </c>
      <c r="H45" s="58">
        <v>0.2</v>
      </c>
      <c r="I45" s="58">
        <v>0.1</v>
      </c>
      <c r="J45" s="58">
        <f>1/8</f>
        <v>0.125</v>
      </c>
      <c r="K45" s="58">
        <f>1/8</f>
        <v>0.125</v>
      </c>
      <c r="L45" s="57"/>
      <c r="M45" s="57"/>
    </row>
    <row r="46" spans="2:24">
      <c r="B46" s="9" t="s">
        <v>17</v>
      </c>
      <c r="C46" s="66">
        <f t="shared" ref="C46:K46" si="1">C22/C$45</f>
        <v>21.479452054794518</v>
      </c>
      <c r="D46" s="66">
        <f t="shared" si="1"/>
        <v>21.777777777777779</v>
      </c>
      <c r="E46" s="66">
        <f t="shared" si="1"/>
        <v>25.5</v>
      </c>
      <c r="F46" s="66">
        <f t="shared" si="1"/>
        <v>28</v>
      </c>
      <c r="G46" s="66">
        <f t="shared" si="1"/>
        <v>37.999999999999993</v>
      </c>
      <c r="H46" s="66">
        <f t="shared" si="1"/>
        <v>25</v>
      </c>
      <c r="I46" s="66">
        <f t="shared" si="1"/>
        <v>37.999999999999993</v>
      </c>
      <c r="J46" s="66">
        <f t="shared" si="1"/>
        <v>26.4</v>
      </c>
      <c r="K46" s="66">
        <f t="shared" si="1"/>
        <v>18.48</v>
      </c>
      <c r="L46" s="61"/>
      <c r="M46" s="61"/>
      <c r="N46" s="67"/>
      <c r="O46" s="67"/>
      <c r="P46" s="67"/>
      <c r="Q46" s="67"/>
      <c r="S46" s="67"/>
      <c r="T46" s="67"/>
      <c r="U46" s="67"/>
      <c r="V46" s="67"/>
    </row>
    <row r="47" spans="2:24">
      <c r="B47" s="9" t="s">
        <v>18</v>
      </c>
      <c r="C47" s="66">
        <f t="shared" ref="C47:K47" si="2">C23/C$45</f>
        <v>26.849315068493148</v>
      </c>
      <c r="D47" s="66">
        <f t="shared" si="2"/>
        <v>27.222222222222221</v>
      </c>
      <c r="E47" s="66">
        <f t="shared" si="2"/>
        <v>31.75</v>
      </c>
      <c r="F47" s="66">
        <f t="shared" si="2"/>
        <v>35</v>
      </c>
      <c r="G47" s="66">
        <f t="shared" si="2"/>
        <v>45.999999999999993</v>
      </c>
      <c r="H47" s="66">
        <f t="shared" si="2"/>
        <v>31</v>
      </c>
      <c r="I47" s="66">
        <f t="shared" si="2"/>
        <v>45.999999999999993</v>
      </c>
      <c r="J47" s="66">
        <f t="shared" si="2"/>
        <v>32.799999999999997</v>
      </c>
      <c r="K47" s="66">
        <f t="shared" si="2"/>
        <v>22.96</v>
      </c>
      <c r="L47" s="61"/>
      <c r="M47" s="61"/>
      <c r="N47" s="67"/>
      <c r="O47" s="67"/>
      <c r="P47" s="67"/>
      <c r="Q47" s="67"/>
      <c r="S47" s="67"/>
      <c r="T47" s="67"/>
      <c r="U47" s="67"/>
      <c r="V47" s="67"/>
    </row>
    <row r="48" spans="2:24">
      <c r="B48" s="9" t="s">
        <v>19</v>
      </c>
      <c r="C48" s="66">
        <f t="shared" ref="C48:K48" si="3">C24/C$45</f>
        <v>31.452054794520546</v>
      </c>
      <c r="D48" s="66">
        <f t="shared" si="3"/>
        <v>31.888888888888889</v>
      </c>
      <c r="E48" s="66">
        <f t="shared" si="3"/>
        <v>37.25</v>
      </c>
      <c r="F48" s="66">
        <f t="shared" si="3"/>
        <v>41</v>
      </c>
      <c r="G48" s="66">
        <f t="shared" si="3"/>
        <v>52</v>
      </c>
      <c r="H48" s="66">
        <f t="shared" si="3"/>
        <v>35</v>
      </c>
      <c r="I48" s="66">
        <f t="shared" si="3"/>
        <v>52</v>
      </c>
      <c r="J48" s="66">
        <f t="shared" si="3"/>
        <v>37.6</v>
      </c>
      <c r="K48" s="66">
        <f t="shared" si="3"/>
        <v>26.32</v>
      </c>
      <c r="L48" s="61"/>
      <c r="M48" s="61"/>
      <c r="N48" s="67"/>
      <c r="O48" s="67"/>
      <c r="P48" s="67"/>
      <c r="Q48" s="67"/>
      <c r="S48" s="67"/>
      <c r="T48" s="67"/>
      <c r="U48" s="67"/>
      <c r="V48" s="67"/>
    </row>
    <row r="49" spans="2:25">
      <c r="B49" s="9" t="s">
        <v>20</v>
      </c>
      <c r="C49" s="66">
        <f t="shared" ref="C49:K49" si="4">C25/C$45</f>
        <v>39.890410958904106</v>
      </c>
      <c r="D49" s="66">
        <f t="shared" si="4"/>
        <v>40.444444444444443</v>
      </c>
      <c r="E49" s="66">
        <f t="shared" si="4"/>
        <v>47.25</v>
      </c>
      <c r="F49" s="66">
        <f t="shared" si="4"/>
        <v>52</v>
      </c>
      <c r="G49" s="66">
        <f t="shared" si="4"/>
        <v>68</v>
      </c>
      <c r="H49" s="66">
        <f t="shared" si="4"/>
        <v>45.999999999999993</v>
      </c>
      <c r="I49" s="66">
        <f t="shared" si="4"/>
        <v>68</v>
      </c>
      <c r="J49" s="66">
        <f t="shared" si="4"/>
        <v>50.4</v>
      </c>
      <c r="K49" s="66">
        <f t="shared" si="4"/>
        <v>35.28</v>
      </c>
      <c r="L49" s="61"/>
      <c r="M49" s="61"/>
      <c r="N49" s="67"/>
      <c r="O49" s="67"/>
      <c r="P49" s="67"/>
      <c r="Q49" s="67"/>
      <c r="S49" s="67"/>
      <c r="T49" s="67"/>
      <c r="U49" s="67"/>
      <c r="V49" s="67"/>
    </row>
    <row r="50" spans="2:25">
      <c r="B50" s="9" t="s">
        <v>21</v>
      </c>
      <c r="C50" s="66">
        <f t="shared" ref="C50:I50" si="5">C26/C$45</f>
        <v>46.794520547945204</v>
      </c>
      <c r="D50" s="66">
        <f t="shared" si="5"/>
        <v>47.444444444444443</v>
      </c>
      <c r="E50" s="66">
        <f t="shared" si="5"/>
        <v>55.5</v>
      </c>
      <c r="F50" s="66">
        <f t="shared" si="5"/>
        <v>61</v>
      </c>
      <c r="G50" s="66">
        <f t="shared" si="5"/>
        <v>85.999999999999986</v>
      </c>
      <c r="H50" s="66">
        <f t="shared" si="5"/>
        <v>59</v>
      </c>
      <c r="I50" s="66">
        <f t="shared" si="5"/>
        <v>85.999999999999986</v>
      </c>
      <c r="J50" s="66">
        <v>60</v>
      </c>
      <c r="K50" s="66">
        <f>K26/K$45</f>
        <v>45.36</v>
      </c>
      <c r="L50" s="61"/>
      <c r="M50" s="61"/>
      <c r="N50" s="67"/>
      <c r="O50" s="67"/>
      <c r="P50" s="67"/>
      <c r="Q50" s="67"/>
      <c r="S50" s="67"/>
      <c r="T50" s="67"/>
      <c r="U50" s="67"/>
      <c r="V50" s="67"/>
      <c r="Y50" s="50" t="s">
        <v>58</v>
      </c>
    </row>
    <row r="51" spans="2:25">
      <c r="B51" s="9" t="s">
        <v>14</v>
      </c>
      <c r="C51" s="60"/>
      <c r="D51" s="60"/>
      <c r="E51" s="60"/>
      <c r="F51" s="66">
        <f>F27/F$45</f>
        <v>18.399999999999999</v>
      </c>
      <c r="G51" s="60"/>
      <c r="H51" s="60"/>
      <c r="I51" s="66">
        <f>I27/I$45</f>
        <v>22.999999999999996</v>
      </c>
      <c r="J51" s="66">
        <f>J27/J$45</f>
        <v>16.8</v>
      </c>
      <c r="K51" s="66"/>
      <c r="L51" s="61"/>
      <c r="M51" s="61"/>
      <c r="Y51" s="50" t="s">
        <v>59</v>
      </c>
    </row>
    <row r="52" spans="2:25">
      <c r="B52" s="9" t="s">
        <v>15</v>
      </c>
      <c r="C52" s="60"/>
      <c r="D52" s="60"/>
      <c r="E52" s="60"/>
      <c r="F52" s="66">
        <f>F28/F$45</f>
        <v>29.6</v>
      </c>
      <c r="G52" s="60"/>
      <c r="H52" s="60"/>
      <c r="I52" s="66">
        <f>I28/I$45</f>
        <v>37</v>
      </c>
      <c r="J52" s="66">
        <f>J28/J$45</f>
        <v>28</v>
      </c>
      <c r="K52" s="66"/>
      <c r="L52" s="61"/>
      <c r="M52" s="61"/>
      <c r="N52" s="61"/>
      <c r="O52" s="62"/>
      <c r="P52" s="62"/>
      <c r="Q52" s="62"/>
      <c r="R52" s="62"/>
      <c r="S52" s="62"/>
      <c r="T52" s="62"/>
      <c r="U52" s="62"/>
      <c r="V52" s="62"/>
      <c r="W52" s="62"/>
    </row>
    <row r="53" spans="2:25">
      <c r="B53" s="9" t="s">
        <v>16</v>
      </c>
      <c r="C53" s="60"/>
      <c r="D53" s="60"/>
      <c r="E53" s="60"/>
      <c r="F53" s="66">
        <f>F29/F$45</f>
        <v>36.799999999999997</v>
      </c>
      <c r="G53" s="60"/>
      <c r="H53" s="60"/>
      <c r="I53" s="66">
        <f>I29/I$45</f>
        <v>45.999999999999993</v>
      </c>
      <c r="J53" s="66">
        <f>J29/J$45</f>
        <v>36</v>
      </c>
      <c r="K53" s="66"/>
      <c r="L53" s="61"/>
      <c r="M53" s="61"/>
      <c r="N53" s="61"/>
      <c r="O53" s="62"/>
      <c r="P53" s="62"/>
      <c r="Q53" s="62"/>
      <c r="R53" s="62"/>
      <c r="S53" s="62"/>
      <c r="T53" s="62"/>
      <c r="U53" s="62"/>
      <c r="V53" s="62"/>
      <c r="W53" s="62"/>
    </row>
    <row r="54" spans="2:25">
      <c r="B54" s="9" t="s">
        <v>22</v>
      </c>
      <c r="C54" s="60"/>
      <c r="D54" s="60"/>
      <c r="E54" s="60"/>
      <c r="F54" s="66">
        <f>F30/F$45</f>
        <v>48</v>
      </c>
      <c r="G54" s="66">
        <f>G30/G$45</f>
        <v>60</v>
      </c>
      <c r="H54" s="60"/>
      <c r="I54" s="66">
        <f>I30/I$45</f>
        <v>60</v>
      </c>
      <c r="J54" s="66">
        <f>J30/J$45</f>
        <v>44.8</v>
      </c>
      <c r="K54" s="66"/>
      <c r="L54" s="61"/>
      <c r="M54" s="61"/>
      <c r="N54" s="61"/>
      <c r="O54" s="62"/>
      <c r="P54" s="62"/>
      <c r="Q54" s="62"/>
      <c r="R54" s="62"/>
      <c r="S54" s="62"/>
      <c r="T54" s="62"/>
      <c r="U54" s="62"/>
      <c r="V54" s="62"/>
      <c r="W54" s="62"/>
    </row>
    <row r="55" spans="2:25">
      <c r="B55" s="9" t="s">
        <v>23</v>
      </c>
      <c r="C55" s="60"/>
      <c r="D55" s="60"/>
      <c r="E55" s="60"/>
      <c r="F55" s="66">
        <f>F31/F$45</f>
        <v>59.2</v>
      </c>
      <c r="G55" s="66">
        <f>G31/G$45</f>
        <v>74</v>
      </c>
      <c r="H55" s="60"/>
      <c r="I55" s="66">
        <f>I31/I$45</f>
        <v>74</v>
      </c>
      <c r="J55" s="66">
        <f>J31/J$45</f>
        <v>56</v>
      </c>
      <c r="K55" s="66"/>
      <c r="L55" s="61"/>
      <c r="M55" s="61"/>
      <c r="N55" s="61"/>
      <c r="O55" s="62"/>
      <c r="P55" s="62"/>
      <c r="Q55" s="62"/>
      <c r="R55" s="62"/>
      <c r="S55" s="62"/>
      <c r="T55" s="62"/>
      <c r="U55" s="62"/>
      <c r="V55" s="62"/>
      <c r="W55" s="62"/>
    </row>
    <row r="56" spans="2:25">
      <c r="B56" s="9" t="s">
        <v>8</v>
      </c>
      <c r="C56" s="66">
        <f>C32/C$45</f>
        <v>33.523287671232872</v>
      </c>
      <c r="D56" s="66">
        <f>D32/D$45</f>
        <v>37.644444444444446</v>
      </c>
      <c r="E56" s="66">
        <f>E32/E$45</f>
        <v>43.75</v>
      </c>
      <c r="F56" s="66">
        <f>F32/F$45</f>
        <v>46</v>
      </c>
      <c r="G56" s="60"/>
      <c r="H56" s="60"/>
      <c r="I56" s="60"/>
      <c r="J56" s="60"/>
      <c r="K56" s="60"/>
      <c r="L56" s="63"/>
      <c r="M56" s="63"/>
      <c r="N56" s="63"/>
    </row>
    <row r="57" spans="2:25">
      <c r="B57" s="9" t="s">
        <v>9</v>
      </c>
      <c r="C57" s="66">
        <f>C33/C$45</f>
        <v>39.353424657534241</v>
      </c>
      <c r="D57" s="66">
        <f>D33/D$45</f>
        <v>44.1</v>
      </c>
      <c r="E57" s="66">
        <f>E33/E$45</f>
        <v>51.5</v>
      </c>
      <c r="F57" s="66">
        <f>F33/F$45</f>
        <v>54</v>
      </c>
      <c r="G57" s="60"/>
      <c r="H57" s="60"/>
      <c r="I57" s="60"/>
      <c r="J57" s="60"/>
      <c r="K57" s="60"/>
      <c r="L57" s="63"/>
      <c r="M57" s="63"/>
      <c r="N57" s="63"/>
    </row>
    <row r="58" spans="2:25">
      <c r="B58" s="9" t="s">
        <v>10</v>
      </c>
      <c r="C58" s="66">
        <f>C34/C$45</f>
        <v>46.871232876712327</v>
      </c>
      <c r="D58" s="66">
        <f>D34/D$45</f>
        <v>52.577777777777776</v>
      </c>
      <c r="E58" s="66">
        <f>E34/E$45</f>
        <v>61.5</v>
      </c>
      <c r="F58" s="66">
        <f>F34/F$45</f>
        <v>63</v>
      </c>
      <c r="G58" s="60"/>
      <c r="H58" s="60"/>
      <c r="I58" s="60"/>
      <c r="J58" s="60"/>
      <c r="K58" s="60"/>
      <c r="L58" s="63"/>
      <c r="M58" s="63"/>
      <c r="N58" s="63"/>
    </row>
    <row r="59" spans="2:25">
      <c r="B59" s="68"/>
      <c r="C59" s="69"/>
      <c r="D59" s="69"/>
      <c r="E59" s="69"/>
      <c r="F59" s="69"/>
      <c r="G59" s="70"/>
      <c r="H59" s="70"/>
      <c r="I59" s="70"/>
      <c r="J59" s="70"/>
      <c r="K59" s="70"/>
      <c r="L59" s="63"/>
      <c r="M59" s="63"/>
      <c r="N59" s="63"/>
    </row>
    <row r="60" spans="2:25">
      <c r="B60" s="68"/>
      <c r="C60" s="69"/>
      <c r="D60" s="69"/>
      <c r="E60" s="69"/>
      <c r="F60" s="69"/>
      <c r="G60" s="70"/>
      <c r="H60" s="70"/>
      <c r="I60" s="70"/>
      <c r="J60" s="70"/>
      <c r="K60" s="70"/>
      <c r="L60" s="63"/>
      <c r="M60" s="63"/>
      <c r="N60" s="63"/>
    </row>
    <row r="62" spans="2:25" ht="15.75" hidden="1">
      <c r="B62" s="73" t="s">
        <v>90</v>
      </c>
      <c r="C62" s="73"/>
      <c r="D62" s="73"/>
      <c r="E62" s="73"/>
      <c r="F62" s="73"/>
      <c r="G62" s="73"/>
      <c r="H62" s="73"/>
      <c r="I62" s="73"/>
      <c r="J62" s="57"/>
      <c r="K62" s="57"/>
      <c r="L62" s="57"/>
    </row>
    <row r="63" spans="2:25" ht="15.75" hidden="1">
      <c r="B63" s="58"/>
      <c r="C63" s="58" t="s">
        <v>7</v>
      </c>
      <c r="D63" s="58" t="s">
        <v>6</v>
      </c>
      <c r="E63" s="58" t="s">
        <v>5</v>
      </c>
      <c r="F63" s="59" t="s">
        <v>4</v>
      </c>
      <c r="G63" s="58" t="s">
        <v>13</v>
      </c>
      <c r="H63" s="59" t="s">
        <v>57</v>
      </c>
      <c r="I63" s="58" t="s">
        <v>0</v>
      </c>
      <c r="J63" s="57"/>
      <c r="K63" s="57"/>
      <c r="L63" s="57"/>
    </row>
    <row r="64" spans="2:25" hidden="1">
      <c r="B64" s="9" t="s">
        <v>17</v>
      </c>
      <c r="C64" s="71">
        <f>$J46-C46</f>
        <v>4.920547945205481</v>
      </c>
      <c r="D64" s="71">
        <f>$J46-D46</f>
        <v>4.62222222222222</v>
      </c>
      <c r="E64" s="71">
        <f>$J46-E46</f>
        <v>0.89999999999999858</v>
      </c>
      <c r="F64" s="71">
        <f>$J46-F46</f>
        <v>-1.6000000000000014</v>
      </c>
      <c r="G64" s="71">
        <f>$J46-G46</f>
        <v>-11.599999999999994</v>
      </c>
      <c r="H64" s="71">
        <f>$J46-H46</f>
        <v>1.3999999999999986</v>
      </c>
      <c r="I64" s="71">
        <f>$J46-I46</f>
        <v>-11.599999999999994</v>
      </c>
      <c r="J64" s="61"/>
      <c r="K64" s="61"/>
      <c r="L64" s="61"/>
      <c r="M64" s="62"/>
      <c r="N64" s="62"/>
      <c r="O64" s="62"/>
      <c r="P64" s="62"/>
      <c r="Q64" s="62"/>
      <c r="R64" s="62"/>
      <c r="S64" s="62"/>
      <c r="T64" s="62"/>
      <c r="U64" s="62"/>
    </row>
    <row r="65" spans="2:21" hidden="1">
      <c r="B65" s="9" t="s">
        <v>18</v>
      </c>
      <c r="C65" s="71">
        <f>$J47-C47</f>
        <v>5.9506849315068493</v>
      </c>
      <c r="D65" s="71">
        <f>$J47-D47</f>
        <v>5.5777777777777757</v>
      </c>
      <c r="E65" s="71">
        <f>$J47-E47</f>
        <v>1.0499999999999972</v>
      </c>
      <c r="F65" s="71">
        <f>$J47-F47</f>
        <v>-2.2000000000000028</v>
      </c>
      <c r="G65" s="71">
        <f>$J47-G47</f>
        <v>-13.199999999999996</v>
      </c>
      <c r="H65" s="71">
        <f>$J47-H47</f>
        <v>1.7999999999999972</v>
      </c>
      <c r="I65" s="71">
        <f>$J47-I47</f>
        <v>-13.199999999999996</v>
      </c>
      <c r="J65" s="61"/>
    </row>
    <row r="66" spans="2:21" hidden="1">
      <c r="B66" s="9" t="s">
        <v>19</v>
      </c>
      <c r="C66" s="71">
        <f>$J48-C48</f>
        <v>6.1479452054794557</v>
      </c>
      <c r="D66" s="71">
        <f>$J48-D48</f>
        <v>5.7111111111111121</v>
      </c>
      <c r="E66" s="71">
        <f>$J48-E48</f>
        <v>0.35000000000000142</v>
      </c>
      <c r="F66" s="71">
        <f>$J48-F48</f>
        <v>-3.3999999999999986</v>
      </c>
      <c r="G66" s="71">
        <f>$J48-G48</f>
        <v>-14.399999999999999</v>
      </c>
      <c r="H66" s="71">
        <f>$J48-H48</f>
        <v>2.6000000000000014</v>
      </c>
      <c r="I66" s="71">
        <f>$J48-I48</f>
        <v>-14.399999999999999</v>
      </c>
      <c r="J66" s="61"/>
    </row>
    <row r="67" spans="2:21" hidden="1">
      <c r="B67" s="9" t="s">
        <v>20</v>
      </c>
      <c r="C67" s="71">
        <f>$J49-C49</f>
        <v>10.509589041095893</v>
      </c>
      <c r="D67" s="71">
        <f>$J49-D49</f>
        <v>9.9555555555555557</v>
      </c>
      <c r="E67" s="71">
        <f>$J49-E49</f>
        <v>3.1499999999999986</v>
      </c>
      <c r="F67" s="71">
        <f>$J49-F49</f>
        <v>-1.6000000000000014</v>
      </c>
      <c r="G67" s="71">
        <f>$J49-G49</f>
        <v>-17.600000000000001</v>
      </c>
      <c r="H67" s="71">
        <f>$J49-H49</f>
        <v>4.4000000000000057</v>
      </c>
      <c r="I67" s="71">
        <f>$J49-I49</f>
        <v>-17.600000000000001</v>
      </c>
      <c r="J67" s="61"/>
    </row>
    <row r="68" spans="2:21" hidden="1">
      <c r="B68" s="9" t="s">
        <v>21</v>
      </c>
      <c r="C68" s="71">
        <f>$J50-C50</f>
        <v>13.205479452054796</v>
      </c>
      <c r="D68" s="71">
        <f>$J50-D50</f>
        <v>12.555555555555557</v>
      </c>
      <c r="E68" s="71">
        <f>$J50-E50</f>
        <v>4.5</v>
      </c>
      <c r="F68" s="71">
        <f>$J50-F50</f>
        <v>-1</v>
      </c>
      <c r="G68" s="71">
        <f>$J50-G50</f>
        <v>-25.999999999999986</v>
      </c>
      <c r="H68" s="71">
        <f>$J50-H50</f>
        <v>1</v>
      </c>
      <c r="I68" s="71">
        <f>$J50-I50</f>
        <v>-25.999999999999986</v>
      </c>
      <c r="J68" s="61"/>
    </row>
    <row r="69" spans="2:21" hidden="1">
      <c r="B69" s="9" t="s">
        <v>14</v>
      </c>
      <c r="C69" s="71"/>
      <c r="D69" s="71"/>
      <c r="E69" s="71"/>
      <c r="F69" s="71">
        <f>$J51-F51</f>
        <v>-1.5999999999999979</v>
      </c>
      <c r="G69" s="71"/>
      <c r="H69" s="71"/>
      <c r="I69" s="71">
        <f>$J51-I51</f>
        <v>-6.1999999999999957</v>
      </c>
      <c r="J69" s="63"/>
    </row>
    <row r="70" spans="2:21" hidden="1">
      <c r="B70" s="9" t="s">
        <v>15</v>
      </c>
      <c r="C70" s="71"/>
      <c r="D70" s="71"/>
      <c r="E70" s="71"/>
      <c r="F70" s="71">
        <f>$J52-F52</f>
        <v>-1.6000000000000014</v>
      </c>
      <c r="G70" s="71"/>
      <c r="H70" s="71"/>
      <c r="I70" s="71">
        <f>$J52-I52</f>
        <v>-9</v>
      </c>
      <c r="J70" s="63"/>
    </row>
    <row r="71" spans="2:21" hidden="1">
      <c r="B71" s="9" t="s">
        <v>16</v>
      </c>
      <c r="C71" s="71"/>
      <c r="D71" s="71"/>
      <c r="E71" s="71"/>
      <c r="F71" s="71">
        <f>$J53-F53</f>
        <v>-0.79999999999999716</v>
      </c>
      <c r="G71" s="71"/>
      <c r="H71" s="71"/>
      <c r="I71" s="71">
        <f>$J53-I53</f>
        <v>-9.9999999999999929</v>
      </c>
      <c r="J71" s="63"/>
    </row>
    <row r="72" spans="2:21" hidden="1">
      <c r="B72" s="9" t="s">
        <v>22</v>
      </c>
      <c r="C72" s="71"/>
      <c r="D72" s="71"/>
      <c r="E72" s="71"/>
      <c r="F72" s="71">
        <f>$J54-F54</f>
        <v>-3.2000000000000028</v>
      </c>
      <c r="G72" s="71">
        <f>$J54-G54</f>
        <v>-15.200000000000003</v>
      </c>
      <c r="H72" s="71"/>
      <c r="I72" s="71">
        <f>$J54-I54</f>
        <v>-15.200000000000003</v>
      </c>
      <c r="J72" s="63"/>
    </row>
    <row r="73" spans="2:21" hidden="1">
      <c r="B73" s="9" t="s">
        <v>23</v>
      </c>
      <c r="C73" s="71"/>
      <c r="D73" s="71"/>
      <c r="E73" s="71"/>
      <c r="F73" s="71">
        <f>$J55-F55</f>
        <v>-3.2000000000000028</v>
      </c>
      <c r="G73" s="71">
        <f>$J55-G55</f>
        <v>-18</v>
      </c>
      <c r="H73" s="71"/>
      <c r="I73" s="71">
        <f>$J55-I55</f>
        <v>-18</v>
      </c>
      <c r="J73" s="63"/>
    </row>
    <row r="74" spans="2:21" hidden="1"/>
    <row r="75" spans="2:21" ht="15.75" hidden="1">
      <c r="B75" s="73" t="s">
        <v>90</v>
      </c>
      <c r="C75" s="73"/>
      <c r="D75" s="73"/>
      <c r="E75" s="73"/>
      <c r="F75" s="73"/>
      <c r="G75" s="73"/>
      <c r="H75" s="73"/>
      <c r="I75" s="73"/>
      <c r="J75" s="57"/>
      <c r="K75" s="57"/>
      <c r="L75" s="57"/>
    </row>
    <row r="76" spans="2:21" ht="15.75" hidden="1">
      <c r="B76" s="58"/>
      <c r="C76" s="58" t="s">
        <v>7</v>
      </c>
      <c r="D76" s="58" t="s">
        <v>6</v>
      </c>
      <c r="E76" s="58" t="s">
        <v>5</v>
      </c>
      <c r="F76" s="59" t="s">
        <v>4</v>
      </c>
      <c r="G76" s="58" t="s">
        <v>13</v>
      </c>
      <c r="H76" s="59" t="s">
        <v>57</v>
      </c>
      <c r="I76" s="58" t="s">
        <v>0</v>
      </c>
      <c r="J76" s="57"/>
      <c r="K76" s="57"/>
      <c r="L76" s="57"/>
    </row>
    <row r="77" spans="2:21" hidden="1">
      <c r="B77" s="9" t="s">
        <v>17</v>
      </c>
      <c r="C77" s="72">
        <f>C64/C46</f>
        <v>0.22908163265306133</v>
      </c>
      <c r="D77" s="72">
        <f>D64/D46</f>
        <v>0.21224489795918355</v>
      </c>
      <c r="E77" s="72">
        <f>E64/E46</f>
        <v>3.5294117647058768E-2</v>
      </c>
      <c r="F77" s="72">
        <f>F64/F46</f>
        <v>-5.7142857142857197E-2</v>
      </c>
      <c r="G77" s="72">
        <f>G64/G46</f>
        <v>-0.30526315789473674</v>
      </c>
      <c r="H77" s="72">
        <f>H64/H46</f>
        <v>5.5999999999999946E-2</v>
      </c>
      <c r="I77" s="72">
        <f>I64/I46</f>
        <v>-0.30526315789473674</v>
      </c>
      <c r="J77" s="61"/>
      <c r="K77" s="61"/>
      <c r="L77" s="61"/>
      <c r="M77" s="62"/>
      <c r="N77" s="62"/>
      <c r="O77" s="62"/>
      <c r="P77" s="62"/>
      <c r="Q77" s="62"/>
      <c r="R77" s="62"/>
      <c r="S77" s="62"/>
      <c r="T77" s="62"/>
      <c r="U77" s="62"/>
    </row>
    <row r="78" spans="2:21" hidden="1">
      <c r="B78" s="9" t="s">
        <v>18</v>
      </c>
      <c r="C78" s="72">
        <f>C65/C47</f>
        <v>0.22163265306122451</v>
      </c>
      <c r="D78" s="72">
        <f>D65/D47</f>
        <v>0.2048979591836734</v>
      </c>
      <c r="E78" s="72">
        <f>E65/E47</f>
        <v>3.3070866141732193E-2</v>
      </c>
      <c r="F78" s="72">
        <f>F65/F47</f>
        <v>-6.2857142857142945E-2</v>
      </c>
      <c r="G78" s="72">
        <f>G65/G47</f>
        <v>-0.28695652173913039</v>
      </c>
      <c r="H78" s="72">
        <f>H65/H47</f>
        <v>5.8064516129032163E-2</v>
      </c>
      <c r="I78" s="72">
        <f>I65/I47</f>
        <v>-0.28695652173913039</v>
      </c>
      <c r="J78" s="61"/>
    </row>
    <row r="79" spans="2:21" hidden="1">
      <c r="B79" s="9" t="s">
        <v>19</v>
      </c>
      <c r="C79" s="72">
        <f>C66/C48</f>
        <v>0.19547038327526145</v>
      </c>
      <c r="D79" s="72">
        <f>D66/D48</f>
        <v>0.17909407665505228</v>
      </c>
      <c r="E79" s="72">
        <f>E66/E48</f>
        <v>9.3959731543624535E-3</v>
      </c>
      <c r="F79" s="72">
        <f>F66/F48</f>
        <v>-8.2926829268292646E-2</v>
      </c>
      <c r="G79" s="72">
        <f>G66/G48</f>
        <v>-0.27692307692307688</v>
      </c>
      <c r="H79" s="72">
        <f>H66/H48</f>
        <v>7.428571428571433E-2</v>
      </c>
      <c r="I79" s="72">
        <f>I66/I48</f>
        <v>-0.27692307692307688</v>
      </c>
      <c r="J79" s="61"/>
    </row>
    <row r="80" spans="2:21" hidden="1">
      <c r="B80" s="9" t="s">
        <v>20</v>
      </c>
      <c r="C80" s="72">
        <f>C67/C49</f>
        <v>0.26346153846153852</v>
      </c>
      <c r="D80" s="72">
        <f>D67/D49</f>
        <v>0.24615384615384617</v>
      </c>
      <c r="E80" s="72">
        <f>E67/E49</f>
        <v>6.6666666666666638E-2</v>
      </c>
      <c r="F80" s="72">
        <f>F67/F49</f>
        <v>-3.0769230769230795E-2</v>
      </c>
      <c r="G80" s="72">
        <f>G67/G49</f>
        <v>-0.25882352941176473</v>
      </c>
      <c r="H80" s="72">
        <f>H67/H49</f>
        <v>9.565217391304362E-2</v>
      </c>
      <c r="I80" s="72">
        <f>I67/I49</f>
        <v>-0.25882352941176473</v>
      </c>
      <c r="J80" s="61"/>
    </row>
    <row r="81" spans="2:10" hidden="1">
      <c r="B81" s="9" t="s">
        <v>21</v>
      </c>
      <c r="C81" s="72">
        <f>C68/C50</f>
        <v>0.28220140515222486</v>
      </c>
      <c r="D81" s="72">
        <f>D68/D50</f>
        <v>0.26463700234192039</v>
      </c>
      <c r="E81" s="72">
        <f>E68/E50</f>
        <v>8.1081081081081086E-2</v>
      </c>
      <c r="F81" s="72">
        <f>F68/F50</f>
        <v>-1.6393442622950821E-2</v>
      </c>
      <c r="G81" s="72">
        <f>G68/G50</f>
        <v>-0.30232558139534871</v>
      </c>
      <c r="H81" s="72">
        <f>H68/H50</f>
        <v>1.6949152542372881E-2</v>
      </c>
      <c r="I81" s="72">
        <f>I68/I50</f>
        <v>-0.30232558139534871</v>
      </c>
      <c r="J81" s="61"/>
    </row>
    <row r="82" spans="2:10" hidden="1">
      <c r="B82" s="9" t="s">
        <v>14</v>
      </c>
      <c r="C82" s="72"/>
      <c r="D82" s="72"/>
      <c r="E82" s="72"/>
      <c r="F82" s="72">
        <f>F69/F51</f>
        <v>-8.6956521739130321E-2</v>
      </c>
      <c r="G82" s="72"/>
      <c r="H82" s="72"/>
      <c r="I82" s="72">
        <f>I69/I51</f>
        <v>-0.26956521739130418</v>
      </c>
      <c r="J82" s="63"/>
    </row>
    <row r="83" spans="2:10" hidden="1">
      <c r="B83" s="9" t="s">
        <v>15</v>
      </c>
      <c r="C83" s="72"/>
      <c r="D83" s="72"/>
      <c r="E83" s="72"/>
      <c r="F83" s="72">
        <f>F70/F52</f>
        <v>-5.4054054054054099E-2</v>
      </c>
      <c r="G83" s="72"/>
      <c r="H83" s="72"/>
      <c r="I83" s="72">
        <f>I70/I52</f>
        <v>-0.24324324324324326</v>
      </c>
      <c r="J83" s="63"/>
    </row>
    <row r="84" spans="2:10" hidden="1">
      <c r="B84" s="9" t="s">
        <v>16</v>
      </c>
      <c r="C84" s="72"/>
      <c r="D84" s="72"/>
      <c r="E84" s="72"/>
      <c r="F84" s="72">
        <f>F71/F53</f>
        <v>-2.1739130434782532E-2</v>
      </c>
      <c r="G84" s="72"/>
      <c r="H84" s="72"/>
      <c r="I84" s="72">
        <f>I71/I53</f>
        <v>-0.21739130434782597</v>
      </c>
      <c r="J84" s="63"/>
    </row>
    <row r="85" spans="2:10" hidden="1">
      <c r="B85" s="9" t="s">
        <v>22</v>
      </c>
      <c r="C85" s="72"/>
      <c r="D85" s="72"/>
      <c r="E85" s="72"/>
      <c r="F85" s="72">
        <f>F72/F54</f>
        <v>-6.6666666666666721E-2</v>
      </c>
      <c r="G85" s="72">
        <f>G72/G54</f>
        <v>-0.25333333333333335</v>
      </c>
      <c r="H85" s="72"/>
      <c r="I85" s="72">
        <f>I72/I54</f>
        <v>-0.25333333333333335</v>
      </c>
      <c r="J85" s="63"/>
    </row>
    <row r="86" spans="2:10" hidden="1">
      <c r="B86" s="9" t="s">
        <v>23</v>
      </c>
      <c r="C86" s="72"/>
      <c r="D86" s="72"/>
      <c r="E86" s="72"/>
      <c r="F86" s="72">
        <f>F73/F55</f>
        <v>-5.4054054054054099E-2</v>
      </c>
      <c r="G86" s="72">
        <f>G73/G55</f>
        <v>-0.24324324324324326</v>
      </c>
      <c r="H86" s="72"/>
      <c r="I86" s="72">
        <f>I73/I55</f>
        <v>-0.24324324324324326</v>
      </c>
      <c r="J86" s="63"/>
    </row>
    <row r="90" spans="2:10">
      <c r="C90" s="68"/>
      <c r="D90" s="68"/>
      <c r="E90" s="68"/>
      <c r="F90" s="68"/>
      <c r="G90" s="68"/>
    </row>
    <row r="91" spans="2:10">
      <c r="B91" s="68"/>
      <c r="C91" s="62"/>
      <c r="D91" s="62"/>
      <c r="E91" s="62"/>
      <c r="F91" s="62"/>
      <c r="G91" s="62"/>
    </row>
    <row r="92" spans="2:10">
      <c r="B92" s="68"/>
      <c r="C92" s="62"/>
      <c r="D92" s="62"/>
      <c r="E92" s="62"/>
      <c r="F92" s="62"/>
      <c r="G92" s="62"/>
    </row>
    <row r="93" spans="2:10">
      <c r="B93" s="68"/>
      <c r="C93" s="62"/>
      <c r="D93" s="62"/>
      <c r="E93" s="62"/>
      <c r="F93" s="62"/>
      <c r="G93" s="62"/>
    </row>
  </sheetData>
  <mergeCells count="10">
    <mergeCell ref="B75:I75"/>
    <mergeCell ref="C20:I20"/>
    <mergeCell ref="J20:K20"/>
    <mergeCell ref="C42:I42"/>
    <mergeCell ref="J42:K42"/>
    <mergeCell ref="B19:K19"/>
    <mergeCell ref="B41:K41"/>
    <mergeCell ref="B5:K5"/>
    <mergeCell ref="B10:K10"/>
    <mergeCell ref="B62:I62"/>
  </mergeCells>
  <conditionalFormatting sqref="C46:I60 C38:I40">
    <cfRule type="cellIs" priority="7" stopIfTrue="1" operator="equal">
      <formula>0</formula>
    </cfRule>
    <cfRule type="cellIs" dxfId="23" priority="8" operator="lessThan">
      <formula>$C$13</formula>
    </cfRule>
    <cfRule type="cellIs" dxfId="22" priority="9" operator="greaterThan">
      <formula>$C$13</formula>
    </cfRule>
  </conditionalFormatting>
  <conditionalFormatting sqref="C22:F34">
    <cfRule type="cellIs" priority="4" stopIfTrue="1" operator="equal">
      <formula>0</formula>
    </cfRule>
    <cfRule type="cellIs" dxfId="21" priority="5" operator="lessThan">
      <formula>C$35</formula>
    </cfRule>
    <cfRule type="cellIs" dxfId="20" priority="6" operator="greaterThan">
      <formula>C$35</formula>
    </cfRule>
  </conditionalFormatting>
  <conditionalFormatting sqref="C16:I17">
    <cfRule type="cellIs" priority="1" stopIfTrue="1" operator="equal">
      <formula>0</formula>
    </cfRule>
    <cfRule type="cellIs" dxfId="19" priority="2" operator="lessThan">
      <formula>$C$13</formula>
    </cfRule>
    <cfRule type="cellIs" dxfId="18" priority="3" operator="greaterThan">
      <formula>$C$13</formula>
    </cfRule>
  </conditionalFormatting>
  <dataValidations disablePrompts="1" count="1">
    <dataValidation type="list" allowBlank="1" showInputMessage="1" showErrorMessage="1" sqref="B13">
      <formula1>"Basic, Advanced"</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4"/>
  <sheetViews>
    <sheetView workbookViewId="0">
      <selection activeCell="C19" sqref="C19"/>
    </sheetView>
  </sheetViews>
  <sheetFormatPr defaultRowHeight="12.75"/>
  <cols>
    <col min="1" max="1" width="9" style="26"/>
    <col min="2" max="2" width="38.5" style="26" customWidth="1"/>
    <col min="3" max="3" width="10.375" style="27" customWidth="1"/>
    <col min="4" max="16384" width="9" style="26"/>
  </cols>
  <sheetData>
    <row r="2" spans="2:3" ht="26.25">
      <c r="B2" s="47" t="s">
        <v>103</v>
      </c>
    </row>
    <row r="4" spans="2:3">
      <c r="B4" s="28" t="s">
        <v>102</v>
      </c>
    </row>
    <row r="5" spans="2:3" ht="25.5">
      <c r="B5" s="29" t="s">
        <v>98</v>
      </c>
    </row>
    <row r="6" spans="2:3" ht="38.25">
      <c r="B6" s="29" t="s">
        <v>104</v>
      </c>
    </row>
    <row r="8" spans="2:3">
      <c r="B8" s="30" t="s">
        <v>94</v>
      </c>
      <c r="C8" s="31" t="s">
        <v>26</v>
      </c>
    </row>
    <row r="9" spans="2:3">
      <c r="B9" s="49" t="s">
        <v>38</v>
      </c>
      <c r="C9" s="31">
        <f>IF(ISBLANK(B9),"",INDEX(fare_cost,MATCH(B9,fare,0)))</f>
        <v>3.3</v>
      </c>
    </row>
    <row r="10" spans="2:3">
      <c r="B10" s="49" t="s">
        <v>14</v>
      </c>
      <c r="C10" s="31">
        <f>IF(ISBLANK(B10),"",INDEX(fare_cost,MATCH(B10,fare,0)))</f>
        <v>2.1</v>
      </c>
    </row>
    <row r="11" spans="2:3">
      <c r="B11" s="49"/>
      <c r="C11" s="32" t="str">
        <f>IF(ISBLANK(B11),"",INDEX(fare_cost,MATCH(B11,fare,0)))</f>
        <v/>
      </c>
    </row>
    <row r="12" spans="2:3">
      <c r="B12" s="33" t="s">
        <v>99</v>
      </c>
      <c r="C12" s="34">
        <f>SUM(C9:C11)</f>
        <v>5.4</v>
      </c>
    </row>
    <row r="13" spans="2:3">
      <c r="B13" s="35" t="s">
        <v>100</v>
      </c>
      <c r="C13" s="36">
        <f>MIN(15,$C$12*2)</f>
        <v>10.8</v>
      </c>
    </row>
    <row r="14" spans="2:3" ht="13.5" thickBot="1">
      <c r="B14" s="37" t="s">
        <v>101</v>
      </c>
      <c r="C14" s="38">
        <f>C13*4</f>
        <v>43.2</v>
      </c>
    </row>
    <row r="15" spans="2:3" ht="13.5" thickTop="1"/>
    <row r="17" spans="3:3">
      <c r="C17" s="26"/>
    </row>
    <row r="18" spans="3:3">
      <c r="C18" s="26"/>
    </row>
    <row r="19" spans="3:3">
      <c r="C19" s="26"/>
    </row>
    <row r="20" spans="3:3">
      <c r="C20" s="26"/>
    </row>
    <row r="21" spans="3:3">
      <c r="C21" s="26"/>
    </row>
    <row r="22" spans="3:3">
      <c r="C22" s="26"/>
    </row>
    <row r="23" spans="3:3">
      <c r="C23" s="26"/>
    </row>
    <row r="24" spans="3:3">
      <c r="C24" s="26"/>
    </row>
    <row r="25" spans="3:3">
      <c r="C25" s="26"/>
    </row>
    <row r="26" spans="3:3">
      <c r="C26" s="26"/>
    </row>
    <row r="27" spans="3:3">
      <c r="C27" s="26"/>
    </row>
    <row r="28" spans="3:3">
      <c r="C28" s="26"/>
    </row>
    <row r="29" spans="3:3">
      <c r="C29" s="26"/>
    </row>
    <row r="30" spans="3:3">
      <c r="C30" s="26"/>
    </row>
    <row r="31" spans="3:3">
      <c r="C31" s="26"/>
    </row>
    <row r="32" spans="3:3">
      <c r="C32" s="26"/>
    </row>
    <row r="33" spans="3:3">
      <c r="C33" s="26"/>
    </row>
    <row r="34" spans="3:3">
      <c r="C34" s="26"/>
    </row>
  </sheetData>
  <dataValidations count="1">
    <dataValidation type="list" allowBlank="1" showInputMessage="1" showErrorMessage="1" sqref="B9:B11">
      <formula1>fare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7"/>
  <sheetViews>
    <sheetView workbookViewId="0">
      <selection activeCell="C6" sqref="C6"/>
    </sheetView>
  </sheetViews>
  <sheetFormatPr defaultColWidth="10.875" defaultRowHeight="12.75"/>
  <cols>
    <col min="1" max="1" width="7.25" style="39" customWidth="1"/>
    <col min="2" max="2" width="10.875" style="39"/>
    <col min="3" max="3" width="30.125" style="39" customWidth="1"/>
    <col min="4" max="4" width="8" style="39" bestFit="1" customWidth="1"/>
    <col min="5" max="5" width="11.5" style="39" hidden="1" customWidth="1"/>
    <col min="6" max="6" width="8.875" style="39" hidden="1" customWidth="1"/>
    <col min="7" max="7" width="18.375" style="40" hidden="1" customWidth="1"/>
    <col min="8" max="8" width="10" style="40" bestFit="1" customWidth="1"/>
    <col min="9" max="9" width="11.625" style="40" bestFit="1" customWidth="1"/>
    <col min="10" max="10" width="13" style="39" bestFit="1" customWidth="1"/>
    <col min="11" max="11" width="12.375" style="39" bestFit="1" customWidth="1"/>
    <col min="12" max="16384" width="10.875" style="39"/>
  </cols>
  <sheetData>
    <row r="2" spans="2:11" ht="26.25">
      <c r="B2" s="47" t="s">
        <v>105</v>
      </c>
    </row>
    <row r="4" spans="2:11">
      <c r="B4" s="28" t="s">
        <v>102</v>
      </c>
    </row>
    <row r="5" spans="2:11">
      <c r="B5" s="26" t="s">
        <v>106</v>
      </c>
    </row>
    <row r="6" spans="2:11">
      <c r="B6" s="26" t="s">
        <v>104</v>
      </c>
    </row>
    <row r="9" spans="2:11" ht="32.1" customHeight="1">
      <c r="B9" s="78" t="s">
        <v>54</v>
      </c>
      <c r="C9" s="79"/>
      <c r="D9" s="79"/>
      <c r="E9" s="79"/>
      <c r="F9" s="79"/>
      <c r="G9" s="79"/>
      <c r="H9" s="79"/>
      <c r="I9" s="80"/>
      <c r="J9" s="76">
        <f>SUM(I14:I57)</f>
        <v>37.6</v>
      </c>
      <c r="K9" s="77"/>
    </row>
    <row r="12" spans="2:11">
      <c r="B12" s="41" t="s">
        <v>24</v>
      </c>
      <c r="C12" s="41" t="s">
        <v>25</v>
      </c>
      <c r="D12" s="41" t="s">
        <v>37</v>
      </c>
      <c r="E12" s="41" t="s">
        <v>51</v>
      </c>
      <c r="F12" s="41" t="s">
        <v>53</v>
      </c>
      <c r="G12" s="42" t="s">
        <v>50</v>
      </c>
      <c r="H12" s="42" t="s">
        <v>26</v>
      </c>
      <c r="I12" s="42" t="s">
        <v>27</v>
      </c>
      <c r="J12" s="41" t="s">
        <v>28</v>
      </c>
      <c r="K12" s="41" t="s">
        <v>52</v>
      </c>
    </row>
    <row r="13" spans="2:11" hidden="1">
      <c r="B13" s="43"/>
      <c r="C13" s="43"/>
      <c r="D13" s="43"/>
      <c r="E13" s="43"/>
      <c r="F13" s="43"/>
      <c r="G13" s="44"/>
      <c r="H13" s="45"/>
      <c r="I13" s="45"/>
      <c r="J13" s="43"/>
      <c r="K13" s="43"/>
    </row>
    <row r="14" spans="2:11">
      <c r="B14" s="48"/>
      <c r="C14" s="48"/>
      <c r="D14" s="43"/>
      <c r="E14" s="43" t="b">
        <f t="shared" ref="E14:E57" si="0">IF(COUNTA(B14:C14)&gt;=2,TRUE,FALSE)</f>
        <v>0</v>
      </c>
      <c r="F14" s="43" t="str">
        <f>IF(E14,INDEX(day_cap,MATCH('Fare Calculator - Advanced'!B14,day,0)),"")</f>
        <v/>
      </c>
      <c r="G14" s="44" t="str">
        <f>IF(E14,SUMIF(B$13:B13,B14,I$13:I13),"")</f>
        <v/>
      </c>
      <c r="H14" s="45" t="str">
        <f t="shared" ref="H14:H57" si="1">IF(E14,INDEX(fare_cost,MATCH(C14,fare,0)),"")</f>
        <v/>
      </c>
      <c r="I14" s="45" t="str">
        <f>IF(E14,IF(MAX(K$13:K13)&lt;journey_cap,MIN(H14,F14-G14),0),"")</f>
        <v/>
      </c>
      <c r="J14" s="46" t="str">
        <f>IF(E14,G14+I14,"")</f>
        <v/>
      </c>
      <c r="K14" s="43" t="str">
        <f>IF(E14,MAX(K$13:K13)+IF(AND(I14&gt;0,D14&lt;&gt;"Y"),1,0),"")</f>
        <v/>
      </c>
    </row>
    <row r="15" spans="2:11">
      <c r="B15" s="48"/>
      <c r="C15" s="48"/>
      <c r="D15" s="43"/>
      <c r="E15" s="43" t="b">
        <f t="shared" si="0"/>
        <v>0</v>
      </c>
      <c r="F15" s="43" t="str">
        <f>IF(E15,INDEX(day_cap,MATCH('Fare Calculator - Advanced'!B15,day,0)),"")</f>
        <v/>
      </c>
      <c r="G15" s="44" t="str">
        <f>IF(E15,SUMIF(B$13:B14,B15,I$13:I14),"")</f>
        <v/>
      </c>
      <c r="H15" s="45" t="str">
        <f t="shared" si="1"/>
        <v/>
      </c>
      <c r="I15" s="45" t="str">
        <f>IF(E15,IF(MAX(K$13:K14)&lt;journey_cap,MIN(H15,F15-G15),0),"")</f>
        <v/>
      </c>
      <c r="J15" s="46" t="str">
        <f t="shared" ref="J15:J57" si="2">IF(E15,G15+I15,"")</f>
        <v/>
      </c>
      <c r="K15" s="43" t="str">
        <f>IF(E15,MAX(K$13:K14)+IF(AND(I15&gt;0,D15&lt;&gt;"Y"),1,0),"")</f>
        <v/>
      </c>
    </row>
    <row r="16" spans="2:11">
      <c r="B16" s="48" t="s">
        <v>30</v>
      </c>
      <c r="C16" s="48" t="s">
        <v>40</v>
      </c>
      <c r="D16" s="43"/>
      <c r="E16" s="43" t="b">
        <f t="shared" si="0"/>
        <v>1</v>
      </c>
      <c r="F16" s="43">
        <f>IF(E16,INDEX(day_cap,MATCH('Fare Calculator - Advanced'!B16,day,0)),"")</f>
        <v>15</v>
      </c>
      <c r="G16" s="44">
        <f>IF(E16,SUMIF(B$13:B15,B16,I$13:I15),"")</f>
        <v>0</v>
      </c>
      <c r="H16" s="45">
        <f t="shared" si="1"/>
        <v>4.7</v>
      </c>
      <c r="I16" s="45">
        <f>IF(E16,IF(MAX(K$13:K15)&lt;journey_cap,MIN(H16,F16-G16),0),"")</f>
        <v>4.7</v>
      </c>
      <c r="J16" s="46">
        <f t="shared" si="2"/>
        <v>4.7</v>
      </c>
      <c r="K16" s="43">
        <f>IF(E16,MAX(K$13:K15)+IF(AND(I16&gt;0,D16&lt;&gt;"Y"),1,0),"")</f>
        <v>1</v>
      </c>
    </row>
    <row r="17" spans="2:11">
      <c r="B17" s="48"/>
      <c r="C17" s="48"/>
      <c r="D17" s="43"/>
      <c r="E17" s="43" t="b">
        <f t="shared" si="0"/>
        <v>0</v>
      </c>
      <c r="F17" s="43" t="str">
        <f>IF(E17,INDEX(day_cap,MATCH('Fare Calculator - Advanced'!B17,day,0)),"")</f>
        <v/>
      </c>
      <c r="G17" s="44" t="str">
        <f>IF(E17,SUMIF(B$13:B16,B17,I$13:I16),"")</f>
        <v/>
      </c>
      <c r="H17" s="45" t="str">
        <f t="shared" si="1"/>
        <v/>
      </c>
      <c r="I17" s="45" t="str">
        <f>IF(E17,IF(MAX(K$13:K16)&lt;journey_cap,MIN(H17,F17-G17),0),"")</f>
        <v/>
      </c>
      <c r="J17" s="46" t="str">
        <f t="shared" si="2"/>
        <v/>
      </c>
      <c r="K17" s="43" t="str">
        <f>IF(E17,MAX(K$13:K16)+IF(AND(I17&gt;0,D17&lt;&gt;"Y"),1,0),"")</f>
        <v/>
      </c>
    </row>
    <row r="18" spans="2:11">
      <c r="B18" s="48"/>
      <c r="C18" s="48"/>
      <c r="D18" s="43"/>
      <c r="E18" s="43" t="b">
        <f t="shared" si="0"/>
        <v>0</v>
      </c>
      <c r="F18" s="43" t="str">
        <f>IF(E18,INDEX(day_cap,MATCH('Fare Calculator - Advanced'!B18,day,0)),"")</f>
        <v/>
      </c>
      <c r="G18" s="44" t="str">
        <f>IF(E18,SUMIF(B$13:B17,B18,I$13:I17),"")</f>
        <v/>
      </c>
      <c r="H18" s="45" t="str">
        <f t="shared" si="1"/>
        <v/>
      </c>
      <c r="I18" s="45" t="str">
        <f>IF(E18,IF(MAX(K$13:K17)&lt;journey_cap,MIN(H18,F18-G18),0),"")</f>
        <v/>
      </c>
      <c r="J18" s="46" t="str">
        <f t="shared" si="2"/>
        <v/>
      </c>
      <c r="K18" s="43" t="str">
        <f>IF(E18,MAX(K$13:K17)+IF(AND(I18&gt;0,D18&lt;&gt;"Y"),1,0),"")</f>
        <v/>
      </c>
    </row>
    <row r="19" spans="2:11">
      <c r="B19" s="48" t="s">
        <v>30</v>
      </c>
      <c r="C19" s="48" t="s">
        <v>40</v>
      </c>
      <c r="D19" s="43"/>
      <c r="E19" s="43" t="b">
        <f t="shared" si="0"/>
        <v>1</v>
      </c>
      <c r="F19" s="43">
        <f>IF(E19,INDEX(day_cap,MATCH('Fare Calculator - Advanced'!B19,day,0)),"")</f>
        <v>15</v>
      </c>
      <c r="G19" s="44">
        <f>IF(E19,SUMIF(B$13:B18,B19,I$13:I18),"")</f>
        <v>4.7</v>
      </c>
      <c r="H19" s="45">
        <f t="shared" si="1"/>
        <v>4.7</v>
      </c>
      <c r="I19" s="45">
        <f>IF(E19,IF(MAX(K$13:K18)&lt;journey_cap,MIN(H19,F19-G19),0),"")</f>
        <v>4.7</v>
      </c>
      <c r="J19" s="46">
        <f t="shared" si="2"/>
        <v>9.4</v>
      </c>
      <c r="K19" s="43">
        <f>IF(E19,MAX(K$13:K18)+IF(AND(I19&gt;0,D19&lt;&gt;"Y"),1,0),"")</f>
        <v>2</v>
      </c>
    </row>
    <row r="20" spans="2:11">
      <c r="B20" s="48"/>
      <c r="C20" s="48"/>
      <c r="D20" s="43"/>
      <c r="E20" s="43" t="b">
        <f t="shared" si="0"/>
        <v>0</v>
      </c>
      <c r="F20" s="43" t="str">
        <f>IF(E20,INDEX(day_cap,MATCH('Fare Calculator - Advanced'!B20,day,0)),"")</f>
        <v/>
      </c>
      <c r="G20" s="44" t="str">
        <f>IF(E20,SUMIF(B$13:B19,B20,I$13:I19),"")</f>
        <v/>
      </c>
      <c r="H20" s="45" t="str">
        <f t="shared" si="1"/>
        <v/>
      </c>
      <c r="I20" s="45" t="str">
        <f>IF(E20,IF(MAX(K$13:K19)&lt;journey_cap,MIN(H20,F20-G20),0),"")</f>
        <v/>
      </c>
      <c r="J20" s="46" t="str">
        <f t="shared" si="2"/>
        <v/>
      </c>
      <c r="K20" s="43" t="str">
        <f>IF(E20,MAX(K$13:K19)+IF(AND(I20&gt;0,D20&lt;&gt;"Y"),1,0),"")</f>
        <v/>
      </c>
    </row>
    <row r="21" spans="2:11">
      <c r="B21" s="48"/>
      <c r="C21" s="48"/>
      <c r="D21" s="43"/>
      <c r="E21" s="43" t="b">
        <f t="shared" si="0"/>
        <v>0</v>
      </c>
      <c r="F21" s="43" t="str">
        <f>IF(E21,INDEX(day_cap,MATCH('Fare Calculator - Advanced'!B21,day,0)),"")</f>
        <v/>
      </c>
      <c r="G21" s="44" t="str">
        <f>IF(E21,SUMIF(B$13:B20,B21,I$13:I20),"")</f>
        <v/>
      </c>
      <c r="H21" s="45" t="str">
        <f t="shared" si="1"/>
        <v/>
      </c>
      <c r="I21" s="45" t="str">
        <f>IF(E21,IF(MAX(K$13:K20)&lt;journey_cap,MIN(H21,F21-G21),0),"")</f>
        <v/>
      </c>
      <c r="J21" s="46" t="str">
        <f t="shared" si="2"/>
        <v/>
      </c>
      <c r="K21" s="43" t="str">
        <f>IF(E21,MAX(K$13:K20)+IF(AND(I21&gt;0,D21&lt;&gt;"Y"),1,0),"")</f>
        <v/>
      </c>
    </row>
    <row r="22" spans="2:11">
      <c r="B22" s="48" t="s">
        <v>31</v>
      </c>
      <c r="C22" s="48" t="s">
        <v>40</v>
      </c>
      <c r="D22" s="43"/>
      <c r="E22" s="43" t="b">
        <f t="shared" si="0"/>
        <v>1</v>
      </c>
      <c r="F22" s="43">
        <f>IF(E22,INDEX(day_cap,MATCH('Fare Calculator - Advanced'!B22,day,0)),"")</f>
        <v>15</v>
      </c>
      <c r="G22" s="44">
        <f>IF(E22,SUMIF(B$13:B21,B22,I$13:I21),"")</f>
        <v>0</v>
      </c>
      <c r="H22" s="45">
        <f t="shared" si="1"/>
        <v>4.7</v>
      </c>
      <c r="I22" s="45">
        <f>IF(E22,IF(MAX(K$13:K21)&lt;journey_cap,MIN(H22,F22-G22),0),"")</f>
        <v>4.7</v>
      </c>
      <c r="J22" s="46">
        <f t="shared" si="2"/>
        <v>4.7</v>
      </c>
      <c r="K22" s="43">
        <f>IF(E22,MAX(K$13:K21)+IF(AND(I22&gt;0,D22&lt;&gt;"Y"),1,0),"")</f>
        <v>3</v>
      </c>
    </row>
    <row r="23" spans="2:11">
      <c r="B23" s="48"/>
      <c r="C23" s="48"/>
      <c r="D23" s="43"/>
      <c r="E23" s="43" t="b">
        <f t="shared" si="0"/>
        <v>0</v>
      </c>
      <c r="F23" s="43" t="str">
        <f>IF(E23,INDEX(day_cap,MATCH('Fare Calculator - Advanced'!B23,day,0)),"")</f>
        <v/>
      </c>
      <c r="G23" s="44" t="str">
        <f>IF(E23,SUMIF(B$13:B22,B23,I$13:I22),"")</f>
        <v/>
      </c>
      <c r="H23" s="45" t="str">
        <f t="shared" si="1"/>
        <v/>
      </c>
      <c r="I23" s="45" t="str">
        <f>IF(E23,IF(MAX(K$13:K22)&lt;journey_cap,MIN(H23,F23-G23),0),"")</f>
        <v/>
      </c>
      <c r="J23" s="46" t="str">
        <f t="shared" si="2"/>
        <v/>
      </c>
      <c r="K23" s="43" t="str">
        <f>IF(E23,MAX(K$13:K22)+IF(AND(I23&gt;0,D23&lt;&gt;"Y"),1,0),"")</f>
        <v/>
      </c>
    </row>
    <row r="24" spans="2:11">
      <c r="B24" s="48"/>
      <c r="C24" s="48"/>
      <c r="D24" s="43"/>
      <c r="E24" s="43" t="b">
        <f t="shared" si="0"/>
        <v>0</v>
      </c>
      <c r="F24" s="43" t="str">
        <f>IF(E24,INDEX(day_cap,MATCH('Fare Calculator - Advanced'!B24,day,0)),"")</f>
        <v/>
      </c>
      <c r="G24" s="44" t="str">
        <f>IF(E24,SUMIF(B$13:B23,B24,I$13:I23),"")</f>
        <v/>
      </c>
      <c r="H24" s="45" t="str">
        <f t="shared" si="1"/>
        <v/>
      </c>
      <c r="I24" s="45" t="str">
        <f>IF(E24,IF(MAX(K$13:K23)&lt;journey_cap,MIN(H24,F24-G24),0),"")</f>
        <v/>
      </c>
      <c r="J24" s="46" t="str">
        <f t="shared" si="2"/>
        <v/>
      </c>
      <c r="K24" s="43" t="str">
        <f>IF(E24,MAX(K$13:K23)+IF(AND(I24&gt;0,D24&lt;&gt;"Y"),1,0),"")</f>
        <v/>
      </c>
    </row>
    <row r="25" spans="2:11">
      <c r="B25" s="48" t="s">
        <v>31</v>
      </c>
      <c r="C25" s="48" t="s">
        <v>40</v>
      </c>
      <c r="D25" s="43"/>
      <c r="E25" s="43" t="b">
        <f t="shared" si="0"/>
        <v>1</v>
      </c>
      <c r="F25" s="43">
        <f>IF(E25,INDEX(day_cap,MATCH('Fare Calculator - Advanced'!B25,day,0)),"")</f>
        <v>15</v>
      </c>
      <c r="G25" s="44">
        <f>IF(E25,SUMIF(B$13:B24,B25,I$13:I24),"")</f>
        <v>4.7</v>
      </c>
      <c r="H25" s="45">
        <f t="shared" si="1"/>
        <v>4.7</v>
      </c>
      <c r="I25" s="45">
        <f>IF(E25,IF(MAX(K$13:K24)&lt;journey_cap,MIN(H25,F25-G25),0),"")</f>
        <v>4.7</v>
      </c>
      <c r="J25" s="46">
        <f t="shared" si="2"/>
        <v>9.4</v>
      </c>
      <c r="K25" s="43">
        <f>IF(E25,MAX(K$13:K24)+IF(AND(I25&gt;0,D25&lt;&gt;"Y"),1,0),"")</f>
        <v>4</v>
      </c>
    </row>
    <row r="26" spans="2:11">
      <c r="B26" s="48"/>
      <c r="C26" s="48"/>
      <c r="D26" s="43"/>
      <c r="E26" s="43" t="b">
        <f t="shared" si="0"/>
        <v>0</v>
      </c>
      <c r="F26" s="43" t="str">
        <f>IF(E26,INDEX(day_cap,MATCH('Fare Calculator - Advanced'!B26,day,0)),"")</f>
        <v/>
      </c>
      <c r="G26" s="44" t="str">
        <f>IF(E26,SUMIF(B$13:B25,B26,I$13:I25),"")</f>
        <v/>
      </c>
      <c r="H26" s="45" t="str">
        <f t="shared" si="1"/>
        <v/>
      </c>
      <c r="I26" s="45" t="str">
        <f>IF(E26,IF(MAX(K$13:K25)&lt;journey_cap,MIN(H26,F26-G26),0),"")</f>
        <v/>
      </c>
      <c r="J26" s="46" t="str">
        <f t="shared" si="2"/>
        <v/>
      </c>
      <c r="K26" s="43" t="str">
        <f>IF(E26,MAX(K$13:K25)+IF(AND(I26&gt;0,D26&lt;&gt;"Y"),1,0),"")</f>
        <v/>
      </c>
    </row>
    <row r="27" spans="2:11">
      <c r="B27" s="48"/>
      <c r="C27" s="48"/>
      <c r="D27" s="43"/>
      <c r="E27" s="43" t="b">
        <f t="shared" si="0"/>
        <v>0</v>
      </c>
      <c r="F27" s="43" t="str">
        <f>IF(E27,INDEX(day_cap,MATCH('Fare Calculator - Advanced'!B27,day,0)),"")</f>
        <v/>
      </c>
      <c r="G27" s="44" t="str">
        <f>IF(E27,SUMIF(B$13:B26,B27,I$13:I26),"")</f>
        <v/>
      </c>
      <c r="H27" s="45" t="str">
        <f t="shared" si="1"/>
        <v/>
      </c>
      <c r="I27" s="45" t="str">
        <f>IF(E27,IF(MAX(K$13:K26)&lt;journey_cap,MIN(H27,F27-G27),0),"")</f>
        <v/>
      </c>
      <c r="J27" s="46" t="str">
        <f t="shared" si="2"/>
        <v/>
      </c>
      <c r="K27" s="43" t="str">
        <f>IF(E27,MAX(K$13:K26)+IF(AND(I27&gt;0,D27&lt;&gt;"Y"),1,0),"")</f>
        <v/>
      </c>
    </row>
    <row r="28" spans="2:11">
      <c r="B28" s="48" t="s">
        <v>32</v>
      </c>
      <c r="C28" s="48" t="s">
        <v>40</v>
      </c>
      <c r="D28" s="43"/>
      <c r="E28" s="43" t="b">
        <f t="shared" si="0"/>
        <v>1</v>
      </c>
      <c r="F28" s="43">
        <f>IF(E28,INDEX(day_cap,MATCH('Fare Calculator - Advanced'!B28,day,0)),"")</f>
        <v>15</v>
      </c>
      <c r="G28" s="44">
        <f>IF(E28,SUMIF(B$13:B27,B28,I$13:I27),"")</f>
        <v>0</v>
      </c>
      <c r="H28" s="45">
        <f t="shared" si="1"/>
        <v>4.7</v>
      </c>
      <c r="I28" s="45">
        <f>IF(E28,IF(MAX(K$13:K27)&lt;journey_cap,MIN(H28,F28-G28),0),"")</f>
        <v>4.7</v>
      </c>
      <c r="J28" s="46">
        <f t="shared" si="2"/>
        <v>4.7</v>
      </c>
      <c r="K28" s="43">
        <f>IF(E28,MAX(K$13:K27)+IF(AND(I28&gt;0,D28&lt;&gt;"Y"),1,0),"")</f>
        <v>5</v>
      </c>
    </row>
    <row r="29" spans="2:11">
      <c r="B29" s="48"/>
      <c r="C29" s="48"/>
      <c r="D29" s="43"/>
      <c r="E29" s="43" t="b">
        <f t="shared" si="0"/>
        <v>0</v>
      </c>
      <c r="F29" s="43" t="str">
        <f>IF(E29,INDEX(day_cap,MATCH('Fare Calculator - Advanced'!B29,day,0)),"")</f>
        <v/>
      </c>
      <c r="G29" s="44" t="str">
        <f>IF(E29,SUMIF(B$13:B28,B29,I$13:I28),"")</f>
        <v/>
      </c>
      <c r="H29" s="45" t="str">
        <f t="shared" si="1"/>
        <v/>
      </c>
      <c r="I29" s="45" t="str">
        <f>IF(E29,IF(MAX(K$13:K28)&lt;journey_cap,MIN(H29,F29-G29),0),"")</f>
        <v/>
      </c>
      <c r="J29" s="46" t="str">
        <f t="shared" si="2"/>
        <v/>
      </c>
      <c r="K29" s="43" t="str">
        <f>IF(E29,MAX(K$13:K28)+IF(AND(I29&gt;0,D29&lt;&gt;"Y"),1,0),"")</f>
        <v/>
      </c>
    </row>
    <row r="30" spans="2:11">
      <c r="B30" s="48"/>
      <c r="C30" s="48"/>
      <c r="D30" s="43"/>
      <c r="E30" s="43" t="b">
        <f t="shared" si="0"/>
        <v>0</v>
      </c>
      <c r="F30" s="43" t="str">
        <f>IF(E30,INDEX(day_cap,MATCH('Fare Calculator - Advanced'!B30,day,0)),"")</f>
        <v/>
      </c>
      <c r="G30" s="44" t="str">
        <f>IF(E30,SUMIF(B$13:B29,B30,I$13:I29),"")</f>
        <v/>
      </c>
      <c r="H30" s="45" t="str">
        <f t="shared" si="1"/>
        <v/>
      </c>
      <c r="I30" s="45" t="str">
        <f>IF(E30,IF(MAX(K$13:K29)&lt;journey_cap,MIN(H30,F30-G30),0),"")</f>
        <v/>
      </c>
      <c r="J30" s="46" t="str">
        <f t="shared" si="2"/>
        <v/>
      </c>
      <c r="K30" s="43" t="str">
        <f>IF(E30,MAX(K$13:K29)+IF(AND(I30&gt;0,D30&lt;&gt;"Y"),1,0),"")</f>
        <v/>
      </c>
    </row>
    <row r="31" spans="2:11">
      <c r="B31" s="48" t="s">
        <v>32</v>
      </c>
      <c r="C31" s="48" t="s">
        <v>40</v>
      </c>
      <c r="D31" s="43"/>
      <c r="E31" s="43" t="b">
        <f t="shared" si="0"/>
        <v>1</v>
      </c>
      <c r="F31" s="43">
        <f>IF(E31,INDEX(day_cap,MATCH('Fare Calculator - Advanced'!B31,day,0)),"")</f>
        <v>15</v>
      </c>
      <c r="G31" s="44">
        <f>IF(E31,SUMIF(B$13:B30,B31,I$13:I30),"")</f>
        <v>4.7</v>
      </c>
      <c r="H31" s="45">
        <f t="shared" si="1"/>
        <v>4.7</v>
      </c>
      <c r="I31" s="45">
        <f>IF(E31,IF(MAX(K$13:K30)&lt;journey_cap,MIN(H31,F31-G31),0),"")</f>
        <v>4.7</v>
      </c>
      <c r="J31" s="46">
        <f t="shared" si="2"/>
        <v>9.4</v>
      </c>
      <c r="K31" s="43">
        <f>IF(E31,MAX(K$13:K30)+IF(AND(I31&gt;0,D31&lt;&gt;"Y"),1,0),"")</f>
        <v>6</v>
      </c>
    </row>
    <row r="32" spans="2:11">
      <c r="B32" s="48"/>
      <c r="C32" s="48"/>
      <c r="D32" s="43"/>
      <c r="E32" s="43" t="b">
        <f t="shared" si="0"/>
        <v>0</v>
      </c>
      <c r="F32" s="43" t="str">
        <f>IF(E32,INDEX(day_cap,MATCH('Fare Calculator - Advanced'!B32,day,0)),"")</f>
        <v/>
      </c>
      <c r="G32" s="44" t="str">
        <f>IF(E32,SUMIF(B$13:B31,B32,I$13:I31),"")</f>
        <v/>
      </c>
      <c r="H32" s="45" t="str">
        <f t="shared" si="1"/>
        <v/>
      </c>
      <c r="I32" s="45" t="str">
        <f>IF(E32,IF(MAX(K$13:K31)&lt;journey_cap,MIN(H32,F32-G32),0),"")</f>
        <v/>
      </c>
      <c r="J32" s="46" t="str">
        <f t="shared" si="2"/>
        <v/>
      </c>
      <c r="K32" s="43" t="str">
        <f>IF(E32,MAX(K$13:K31)+IF(AND(I32&gt;0,D32&lt;&gt;"Y"),1,0),"")</f>
        <v/>
      </c>
    </row>
    <row r="33" spans="2:11">
      <c r="B33" s="48"/>
      <c r="C33" s="48"/>
      <c r="D33" s="43"/>
      <c r="E33" s="43" t="b">
        <f t="shared" si="0"/>
        <v>0</v>
      </c>
      <c r="F33" s="43" t="str">
        <f>IF(E33,INDEX(day_cap,MATCH('Fare Calculator - Advanced'!B33,day,0)),"")</f>
        <v/>
      </c>
      <c r="G33" s="44" t="str">
        <f>IF(E33,SUMIF(B$13:B32,B33,I$13:I32),"")</f>
        <v/>
      </c>
      <c r="H33" s="45" t="str">
        <f t="shared" si="1"/>
        <v/>
      </c>
      <c r="I33" s="45" t="str">
        <f>IF(E33,IF(MAX(K$13:K32)&lt;journey_cap,MIN(H33,F33-G33),0),"")</f>
        <v/>
      </c>
      <c r="J33" s="46" t="str">
        <f t="shared" si="2"/>
        <v/>
      </c>
      <c r="K33" s="43" t="str">
        <f>IF(E33,MAX(K$13:K32)+IF(AND(I33&gt;0,D33&lt;&gt;"Y"),1,0),"")</f>
        <v/>
      </c>
    </row>
    <row r="34" spans="2:11">
      <c r="B34" s="48" t="s">
        <v>33</v>
      </c>
      <c r="C34" s="48" t="s">
        <v>40</v>
      </c>
      <c r="D34" s="43"/>
      <c r="E34" s="43" t="b">
        <f t="shared" si="0"/>
        <v>1</v>
      </c>
      <c r="F34" s="43">
        <f>IF(E34,INDEX(day_cap,MATCH('Fare Calculator - Advanced'!B34,day,0)),"")</f>
        <v>15</v>
      </c>
      <c r="G34" s="44">
        <f>IF(E34,SUMIF(B$13:B33,B34,I$13:I33),"")</f>
        <v>0</v>
      </c>
      <c r="H34" s="45">
        <f t="shared" si="1"/>
        <v>4.7</v>
      </c>
      <c r="I34" s="45">
        <f>IF(E34,IF(MAX(K$13:K33)&lt;journey_cap,MIN(H34,F34-G34),0),"")</f>
        <v>4.7</v>
      </c>
      <c r="J34" s="46">
        <f t="shared" si="2"/>
        <v>4.7</v>
      </c>
      <c r="K34" s="43">
        <f>IF(E34,MAX(K$13:K33)+IF(AND(I34&gt;0,D34&lt;&gt;"Y"),1,0),"")</f>
        <v>7</v>
      </c>
    </row>
    <row r="35" spans="2:11">
      <c r="B35" s="48"/>
      <c r="C35" s="48"/>
      <c r="D35" s="43"/>
      <c r="E35" s="43" t="b">
        <f t="shared" si="0"/>
        <v>0</v>
      </c>
      <c r="F35" s="43" t="str">
        <f>IF(E35,INDEX(day_cap,MATCH('Fare Calculator - Advanced'!B35,day,0)),"")</f>
        <v/>
      </c>
      <c r="G35" s="44" t="str">
        <f>IF(E35,SUMIF(B$13:B34,B35,I$13:I34),"")</f>
        <v/>
      </c>
      <c r="H35" s="45" t="str">
        <f t="shared" si="1"/>
        <v/>
      </c>
      <c r="I35" s="45" t="str">
        <f>IF(E35,IF(MAX(K$13:K34)&lt;journey_cap,MIN(H35,F35-G35),0),"")</f>
        <v/>
      </c>
      <c r="J35" s="46" t="str">
        <f t="shared" si="2"/>
        <v/>
      </c>
      <c r="K35" s="43" t="str">
        <f>IF(E35,MAX(K$13:K34)+IF(AND(I35&gt;0,D35&lt;&gt;"Y"),1,0),"")</f>
        <v/>
      </c>
    </row>
    <row r="36" spans="2:11">
      <c r="B36" s="48"/>
      <c r="C36" s="48"/>
      <c r="D36" s="43"/>
      <c r="E36" s="43" t="b">
        <f t="shared" si="0"/>
        <v>0</v>
      </c>
      <c r="F36" s="43" t="str">
        <f>IF(E36,INDEX(day_cap,MATCH('Fare Calculator - Advanced'!B36,day,0)),"")</f>
        <v/>
      </c>
      <c r="G36" s="44" t="str">
        <f>IF(E36,SUMIF(B$13:B35,B36,I$13:I35),"")</f>
        <v/>
      </c>
      <c r="H36" s="45" t="str">
        <f t="shared" si="1"/>
        <v/>
      </c>
      <c r="I36" s="45" t="str">
        <f>IF(E36,IF(MAX(K$13:K35)&lt;journey_cap,MIN(H36,F36-G36),0),"")</f>
        <v/>
      </c>
      <c r="J36" s="46" t="str">
        <f t="shared" si="2"/>
        <v/>
      </c>
      <c r="K36" s="43" t="str">
        <f>IF(E36,MAX(K$13:K35)+IF(AND(I36&gt;0,D36&lt;&gt;"Y"),1,0),"")</f>
        <v/>
      </c>
    </row>
    <row r="37" spans="2:11">
      <c r="B37" s="48" t="s">
        <v>33</v>
      </c>
      <c r="C37" s="48" t="s">
        <v>40</v>
      </c>
      <c r="D37" s="43"/>
      <c r="E37" s="43" t="b">
        <f t="shared" si="0"/>
        <v>1</v>
      </c>
      <c r="F37" s="43">
        <f>IF(E37,INDEX(day_cap,MATCH('Fare Calculator - Advanced'!B37,day,0)),"")</f>
        <v>15</v>
      </c>
      <c r="G37" s="44">
        <f>IF(E37,SUMIF(B$13:B36,B37,I$13:I36),"")</f>
        <v>4.7</v>
      </c>
      <c r="H37" s="45">
        <f t="shared" si="1"/>
        <v>4.7</v>
      </c>
      <c r="I37" s="45">
        <f>IF(E37,IF(MAX(K$13:K36)&lt;journey_cap,MIN(H37,F37-G37),0),"")</f>
        <v>4.7</v>
      </c>
      <c r="J37" s="46">
        <f t="shared" si="2"/>
        <v>9.4</v>
      </c>
      <c r="K37" s="43">
        <f>IF(E37,MAX(K$13:K36)+IF(AND(I37&gt;0,D37&lt;&gt;"Y"),1,0),"")</f>
        <v>8</v>
      </c>
    </row>
    <row r="38" spans="2:11">
      <c r="B38" s="48"/>
      <c r="C38" s="48"/>
      <c r="D38" s="43"/>
      <c r="E38" s="43" t="b">
        <f t="shared" si="0"/>
        <v>0</v>
      </c>
      <c r="F38" s="43" t="str">
        <f>IF(E38,INDEX(day_cap,MATCH('Fare Calculator - Advanced'!B38,day,0)),"")</f>
        <v/>
      </c>
      <c r="G38" s="44" t="str">
        <f>IF(E38,SUMIF(B$13:B37,B38,I$13:I37),"")</f>
        <v/>
      </c>
      <c r="H38" s="45" t="str">
        <f t="shared" si="1"/>
        <v/>
      </c>
      <c r="I38" s="45" t="str">
        <f>IF(E38,IF(MAX(K$13:K37)&lt;journey_cap,MIN(H38,F38-G38),0),"")</f>
        <v/>
      </c>
      <c r="J38" s="46" t="str">
        <f t="shared" si="2"/>
        <v/>
      </c>
      <c r="K38" s="43" t="str">
        <f>IF(E38,MAX(K$13:K37)+IF(AND(I38&gt;0,D38&lt;&gt;"Y"),1,0),"")</f>
        <v/>
      </c>
    </row>
    <row r="39" spans="2:11">
      <c r="B39" s="48"/>
      <c r="C39" s="48"/>
      <c r="D39" s="43"/>
      <c r="E39" s="43" t="b">
        <f t="shared" si="0"/>
        <v>0</v>
      </c>
      <c r="F39" s="43" t="str">
        <f>IF(E39,INDEX(day_cap,MATCH('Fare Calculator - Advanced'!B39,day,0)),"")</f>
        <v/>
      </c>
      <c r="G39" s="44" t="str">
        <f>IF(E39,SUMIF(B$13:B38,B39,I$13:I38),"")</f>
        <v/>
      </c>
      <c r="H39" s="45" t="str">
        <f t="shared" si="1"/>
        <v/>
      </c>
      <c r="I39" s="45" t="str">
        <f>IF(E39,IF(MAX(K$13:K38)&lt;journey_cap,MIN(H39,F39-G39),0),"")</f>
        <v/>
      </c>
      <c r="J39" s="46" t="str">
        <f t="shared" si="2"/>
        <v/>
      </c>
      <c r="K39" s="43" t="str">
        <f>IF(E39,MAX(K$13:K38)+IF(AND(I39&gt;0,D39&lt;&gt;"Y"),1,0),"")</f>
        <v/>
      </c>
    </row>
    <row r="40" spans="2:11">
      <c r="B40" s="48" t="s">
        <v>34</v>
      </c>
      <c r="C40" s="48" t="s">
        <v>40</v>
      </c>
      <c r="D40" s="43"/>
      <c r="E40" s="43" t="b">
        <f t="shared" si="0"/>
        <v>1</v>
      </c>
      <c r="F40" s="43">
        <f>IF(E40,INDEX(day_cap,MATCH('Fare Calculator - Advanced'!B40,day,0)),"")</f>
        <v>15</v>
      </c>
      <c r="G40" s="44">
        <f>IF(E40,SUMIF(B$13:B39,B40,I$13:I39),"")</f>
        <v>0</v>
      </c>
      <c r="H40" s="45">
        <f t="shared" si="1"/>
        <v>4.7</v>
      </c>
      <c r="I40" s="45">
        <f>IF(E40,IF(MAX(K$13:K39)&lt;journey_cap,MIN(H40,F40-G40),0),"")</f>
        <v>0</v>
      </c>
      <c r="J40" s="46">
        <f t="shared" si="2"/>
        <v>0</v>
      </c>
      <c r="K40" s="43">
        <f>IF(E40,MAX(K$13:K39)+IF(AND(I40&gt;0,D40&lt;&gt;"Y"),1,0),"")</f>
        <v>8</v>
      </c>
    </row>
    <row r="41" spans="2:11">
      <c r="B41" s="48"/>
      <c r="C41" s="48"/>
      <c r="D41" s="43"/>
      <c r="E41" s="43" t="b">
        <f t="shared" si="0"/>
        <v>0</v>
      </c>
      <c r="F41" s="43" t="str">
        <f>IF(E41,INDEX(day_cap,MATCH('Fare Calculator - Advanced'!B41,day,0)),"")</f>
        <v/>
      </c>
      <c r="G41" s="44" t="str">
        <f>IF(E41,SUMIF(B$13:B40,B41,I$13:I40),"")</f>
        <v/>
      </c>
      <c r="H41" s="45" t="str">
        <f t="shared" si="1"/>
        <v/>
      </c>
      <c r="I41" s="45" t="str">
        <f>IF(E41,IF(MAX(K$13:K40)&lt;journey_cap,MIN(H41,F41-G41),0),"")</f>
        <v/>
      </c>
      <c r="J41" s="46" t="str">
        <f t="shared" si="2"/>
        <v/>
      </c>
      <c r="K41" s="43" t="str">
        <f>IF(E41,MAX(K$13:K40)+IF(AND(I41&gt;0,D41&lt;&gt;"Y"),1,0),"")</f>
        <v/>
      </c>
    </row>
    <row r="42" spans="2:11">
      <c r="B42" s="48"/>
      <c r="C42" s="48"/>
      <c r="D42" s="43"/>
      <c r="E42" s="43" t="b">
        <f t="shared" si="0"/>
        <v>0</v>
      </c>
      <c r="F42" s="43" t="str">
        <f>IF(E42,INDEX(day_cap,MATCH('Fare Calculator - Advanced'!B42,day,0)),"")</f>
        <v/>
      </c>
      <c r="G42" s="44" t="str">
        <f>IF(E42,SUMIF(B$13:B41,B42,I$13:I41),"")</f>
        <v/>
      </c>
      <c r="H42" s="45" t="str">
        <f t="shared" si="1"/>
        <v/>
      </c>
      <c r="I42" s="45" t="str">
        <f>IF(E42,IF(MAX(K$13:K41)&lt;journey_cap,MIN(H42,F42-G42),0),"")</f>
        <v/>
      </c>
      <c r="J42" s="46" t="str">
        <f t="shared" si="2"/>
        <v/>
      </c>
      <c r="K42" s="43" t="str">
        <f>IF(E42,MAX(K$13:K41)+IF(AND(I42&gt;0,D42&lt;&gt;"Y"),1,0),"")</f>
        <v/>
      </c>
    </row>
    <row r="43" spans="2:11">
      <c r="B43" s="48" t="s">
        <v>34</v>
      </c>
      <c r="C43" s="48" t="s">
        <v>40</v>
      </c>
      <c r="D43" s="43"/>
      <c r="E43" s="43" t="b">
        <f t="shared" si="0"/>
        <v>1</v>
      </c>
      <c r="F43" s="43">
        <f>IF(E43,INDEX(day_cap,MATCH('Fare Calculator - Advanced'!B43,day,0)),"")</f>
        <v>15</v>
      </c>
      <c r="G43" s="44">
        <f>IF(E43,SUMIF(B$13:B42,B43,I$13:I42),"")</f>
        <v>0</v>
      </c>
      <c r="H43" s="45">
        <f t="shared" si="1"/>
        <v>4.7</v>
      </c>
      <c r="I43" s="45">
        <f>IF(E43,IF(MAX(K$13:K42)&lt;journey_cap,MIN(H43,F43-G43),0),"")</f>
        <v>0</v>
      </c>
      <c r="J43" s="46">
        <f t="shared" si="2"/>
        <v>0</v>
      </c>
      <c r="K43" s="43">
        <f>IF(E43,MAX(K$13:K42)+IF(AND(I43&gt;0,D43&lt;&gt;"Y"),1,0),"")</f>
        <v>8</v>
      </c>
    </row>
    <row r="44" spans="2:11">
      <c r="B44" s="48"/>
      <c r="C44" s="48"/>
      <c r="D44" s="43"/>
      <c r="E44" s="43" t="b">
        <f t="shared" si="0"/>
        <v>0</v>
      </c>
      <c r="F44" s="43" t="str">
        <f>IF(E44,INDEX(day_cap,MATCH('Fare Calculator - Advanced'!B44,day,0)),"")</f>
        <v/>
      </c>
      <c r="G44" s="44" t="str">
        <f>IF(E44,SUMIF(B$13:B43,B44,I$13:I43),"")</f>
        <v/>
      </c>
      <c r="H44" s="45" t="str">
        <f t="shared" si="1"/>
        <v/>
      </c>
      <c r="I44" s="45" t="str">
        <f>IF(E44,IF(MAX(K$13:K43)&lt;journey_cap,MIN(H44,F44-G44),0),"")</f>
        <v/>
      </c>
      <c r="J44" s="46" t="str">
        <f t="shared" si="2"/>
        <v/>
      </c>
      <c r="K44" s="43" t="str">
        <f>IF(E44,MAX(K$13:K43)+IF(AND(I44&gt;0,D44&lt;&gt;"Y"),1,0),"")</f>
        <v/>
      </c>
    </row>
    <row r="45" spans="2:11">
      <c r="B45" s="48"/>
      <c r="C45" s="48"/>
      <c r="D45" s="43"/>
      <c r="E45" s="43" t="b">
        <f t="shared" si="0"/>
        <v>0</v>
      </c>
      <c r="F45" s="43" t="str">
        <f>IF(E45,INDEX(day_cap,MATCH('Fare Calculator - Advanced'!B45,day,0)),"")</f>
        <v/>
      </c>
      <c r="G45" s="44" t="str">
        <f>IF(E45,SUMIF(B$13:B44,B45,I$13:I44),"")</f>
        <v/>
      </c>
      <c r="H45" s="45" t="str">
        <f t="shared" si="1"/>
        <v/>
      </c>
      <c r="I45" s="45" t="str">
        <f>IF(E45,IF(MAX(K$13:K44)&lt;journey_cap,MIN(H45,F45-G45),0),"")</f>
        <v/>
      </c>
      <c r="J45" s="46" t="str">
        <f t="shared" si="2"/>
        <v/>
      </c>
      <c r="K45" s="43" t="str">
        <f>IF(E45,MAX(K$13:K44)+IF(AND(I45&gt;0,D45&lt;&gt;"Y"),1,0),"")</f>
        <v/>
      </c>
    </row>
    <row r="46" spans="2:11">
      <c r="B46" s="48" t="s">
        <v>35</v>
      </c>
      <c r="C46" s="48" t="s">
        <v>40</v>
      </c>
      <c r="D46" s="43"/>
      <c r="E46" s="43" t="b">
        <f t="shared" si="0"/>
        <v>1</v>
      </c>
      <c r="F46" s="43">
        <f>IF(E46,INDEX(day_cap,MATCH('Fare Calculator - Advanced'!B46,day,0)),"")</f>
        <v>15</v>
      </c>
      <c r="G46" s="44">
        <f>IF(E46,SUMIF(B$13:B45,B46,I$13:I45),"")</f>
        <v>0</v>
      </c>
      <c r="H46" s="45">
        <f t="shared" si="1"/>
        <v>4.7</v>
      </c>
      <c r="I46" s="45">
        <f>IF(E46,IF(MAX(K$13:K45)&lt;journey_cap,MIN(H46,F46-G46),0),"")</f>
        <v>0</v>
      </c>
      <c r="J46" s="46">
        <f t="shared" si="2"/>
        <v>0</v>
      </c>
      <c r="K46" s="43">
        <f>IF(E46,MAX(K$13:K45)+IF(AND(I46&gt;0,D46&lt;&gt;"Y"),1,0),"")</f>
        <v>8</v>
      </c>
    </row>
    <row r="47" spans="2:11">
      <c r="B47" s="48"/>
      <c r="C47" s="48"/>
      <c r="D47" s="43"/>
      <c r="E47" s="43" t="b">
        <f t="shared" si="0"/>
        <v>0</v>
      </c>
      <c r="F47" s="43" t="str">
        <f>IF(E47,INDEX(day_cap,MATCH('Fare Calculator - Advanced'!B47,day,0)),"")</f>
        <v/>
      </c>
      <c r="G47" s="44" t="str">
        <f>IF(E47,SUMIF(B$13:B46,B47,I$13:I46),"")</f>
        <v/>
      </c>
      <c r="H47" s="45" t="str">
        <f t="shared" si="1"/>
        <v/>
      </c>
      <c r="I47" s="45" t="str">
        <f>IF(E47,IF(MAX(K$13:K46)&lt;journey_cap,MIN(H47,F47-G47),0),"")</f>
        <v/>
      </c>
      <c r="J47" s="46" t="str">
        <f t="shared" si="2"/>
        <v/>
      </c>
      <c r="K47" s="43" t="str">
        <f>IF(E47,MAX(K$13:K46)+IF(AND(I47&gt;0,D47&lt;&gt;"Y"),1,0),"")</f>
        <v/>
      </c>
    </row>
    <row r="48" spans="2:11">
      <c r="B48" s="48"/>
      <c r="C48" s="48"/>
      <c r="D48" s="43"/>
      <c r="E48" s="43" t="b">
        <f t="shared" si="0"/>
        <v>0</v>
      </c>
      <c r="F48" s="43" t="str">
        <f>IF(E48,INDEX(day_cap,MATCH('Fare Calculator - Advanced'!B48,day,0)),"")</f>
        <v/>
      </c>
      <c r="G48" s="44" t="str">
        <f>IF(E48,SUMIF(B$13:B47,B48,I$13:I47),"")</f>
        <v/>
      </c>
      <c r="H48" s="45" t="str">
        <f t="shared" si="1"/>
        <v/>
      </c>
      <c r="I48" s="45" t="str">
        <f>IF(E48,IF(MAX(K$13:K47)&lt;journey_cap,MIN(H48,F48-G48),0),"")</f>
        <v/>
      </c>
      <c r="J48" s="46" t="str">
        <f t="shared" si="2"/>
        <v/>
      </c>
      <c r="K48" s="43" t="str">
        <f>IF(E48,MAX(K$13:K47)+IF(AND(I48&gt;0,D48&lt;&gt;"Y"),1,0),"")</f>
        <v/>
      </c>
    </row>
    <row r="49" spans="2:11">
      <c r="B49" s="48" t="s">
        <v>35</v>
      </c>
      <c r="C49" s="48" t="s">
        <v>40</v>
      </c>
      <c r="D49" s="43"/>
      <c r="E49" s="43" t="b">
        <f t="shared" si="0"/>
        <v>1</v>
      </c>
      <c r="F49" s="43">
        <f>IF(E49,INDEX(day_cap,MATCH('Fare Calculator - Advanced'!B49,day,0)),"")</f>
        <v>15</v>
      </c>
      <c r="G49" s="44">
        <f>IF(E49,SUMIF(B$13:B48,B49,I$13:I48),"")</f>
        <v>0</v>
      </c>
      <c r="H49" s="45">
        <f t="shared" si="1"/>
        <v>4.7</v>
      </c>
      <c r="I49" s="45">
        <f>IF(E49,IF(MAX(K$13:K48)&lt;journey_cap,MIN(H49,F49-G49),0),"")</f>
        <v>0</v>
      </c>
      <c r="J49" s="46">
        <f t="shared" si="2"/>
        <v>0</v>
      </c>
      <c r="K49" s="43">
        <f>IF(E49,MAX(K$13:K48)+IF(AND(I49&gt;0,D49&lt;&gt;"Y"),1,0),"")</f>
        <v>8</v>
      </c>
    </row>
    <row r="50" spans="2:11">
      <c r="B50" s="48"/>
      <c r="C50" s="48"/>
      <c r="D50" s="43"/>
      <c r="E50" s="43" t="b">
        <f t="shared" si="0"/>
        <v>0</v>
      </c>
      <c r="F50" s="43" t="str">
        <f>IF(E50,INDEX(day_cap,MATCH('Fare Calculator - Advanced'!B50,day,0)),"")</f>
        <v/>
      </c>
      <c r="G50" s="44" t="str">
        <f>IF(E50,SUMIF(B$13:B49,B50,I$13:I49),"")</f>
        <v/>
      </c>
      <c r="H50" s="45" t="str">
        <f t="shared" si="1"/>
        <v/>
      </c>
      <c r="I50" s="45" t="str">
        <f>IF(E50,IF(MAX(K$13:K49)&lt;journey_cap,MIN(H50,F50-G50),0),"")</f>
        <v/>
      </c>
      <c r="J50" s="46" t="str">
        <f t="shared" si="2"/>
        <v/>
      </c>
      <c r="K50" s="43" t="str">
        <f>IF(E50,MAX(K$13:K49)+IF(AND(I50&gt;0,D50&lt;&gt;"Y"),1,0),"")</f>
        <v/>
      </c>
    </row>
    <row r="51" spans="2:11">
      <c r="B51" s="48"/>
      <c r="C51" s="48"/>
      <c r="D51" s="43"/>
      <c r="E51" s="43" t="b">
        <f t="shared" si="0"/>
        <v>0</v>
      </c>
      <c r="F51" s="43" t="str">
        <f>IF(E51,INDEX(day_cap,MATCH('Fare Calculator - Advanced'!B51,day,0)),"")</f>
        <v/>
      </c>
      <c r="G51" s="44" t="str">
        <f>IF(E51,SUMIF(B$13:B50,B51,I$13:I50),"")</f>
        <v/>
      </c>
      <c r="H51" s="45" t="str">
        <f t="shared" si="1"/>
        <v/>
      </c>
      <c r="I51" s="45" t="str">
        <f>IF(E51,IF(MAX(K$13:K50)&lt;journey_cap,MIN(H51,F51-G51),0),"")</f>
        <v/>
      </c>
      <c r="J51" s="46" t="str">
        <f t="shared" si="2"/>
        <v/>
      </c>
      <c r="K51" s="43" t="str">
        <f>IF(E51,MAX(K$13:K50)+IF(AND(I51&gt;0,D51&lt;&gt;"Y"),1,0),"")</f>
        <v/>
      </c>
    </row>
    <row r="52" spans="2:11">
      <c r="B52" s="48" t="s">
        <v>36</v>
      </c>
      <c r="C52" s="48" t="s">
        <v>40</v>
      </c>
      <c r="D52" s="43"/>
      <c r="E52" s="43" t="b">
        <f t="shared" si="0"/>
        <v>1</v>
      </c>
      <c r="F52" s="43">
        <f>IF(E52,INDEX(day_cap,MATCH('Fare Calculator - Advanced'!B52,day,0)),"")</f>
        <v>2.5</v>
      </c>
      <c r="G52" s="44">
        <f>IF(E52,SUMIF(B$13:B51,B52,I$13:I51),"")</f>
        <v>0</v>
      </c>
      <c r="H52" s="45">
        <f t="shared" si="1"/>
        <v>4.7</v>
      </c>
      <c r="I52" s="45">
        <f>IF(E52,IF(MAX(K$13:K51)&lt;journey_cap,MIN(H52,F52-G52),0),"")</f>
        <v>0</v>
      </c>
      <c r="J52" s="46">
        <f t="shared" si="2"/>
        <v>0</v>
      </c>
      <c r="K52" s="43">
        <f>IF(E52,MAX(K$13:K51)+IF(AND(I52&gt;0,D52&lt;&gt;"Y"),1,0),"")</f>
        <v>8</v>
      </c>
    </row>
    <row r="53" spans="2:11">
      <c r="B53" s="48"/>
      <c r="C53" s="48"/>
      <c r="D53" s="43"/>
      <c r="E53" s="43" t="b">
        <f t="shared" si="0"/>
        <v>0</v>
      </c>
      <c r="F53" s="43" t="str">
        <f>IF(E53,INDEX(day_cap,MATCH('Fare Calculator - Advanced'!B53,day,0)),"")</f>
        <v/>
      </c>
      <c r="G53" s="44" t="str">
        <f>IF(E53,SUMIF(B$13:B52,B53,I$13:I52),"")</f>
        <v/>
      </c>
      <c r="H53" s="45" t="str">
        <f t="shared" si="1"/>
        <v/>
      </c>
      <c r="I53" s="45" t="str">
        <f>IF(E53,IF(MAX(K$13:K52)&lt;journey_cap,MIN(H53,F53-G53),0),"")</f>
        <v/>
      </c>
      <c r="J53" s="46" t="str">
        <f t="shared" si="2"/>
        <v/>
      </c>
      <c r="K53" s="43" t="str">
        <f>IF(E53,MAX(K$13:K52)+IF(AND(I53&gt;0,D53&lt;&gt;"Y"),1,0),"")</f>
        <v/>
      </c>
    </row>
    <row r="54" spans="2:11">
      <c r="B54" s="48"/>
      <c r="C54" s="48"/>
      <c r="D54" s="43"/>
      <c r="E54" s="43" t="b">
        <f t="shared" si="0"/>
        <v>0</v>
      </c>
      <c r="F54" s="43" t="str">
        <f>IF(E54,INDEX(day_cap,MATCH('Fare Calculator - Advanced'!B54,day,0)),"")</f>
        <v/>
      </c>
      <c r="G54" s="44" t="str">
        <f>IF(E54,SUMIF(B$13:B53,B54,I$13:I53),"")</f>
        <v/>
      </c>
      <c r="H54" s="45" t="str">
        <f t="shared" si="1"/>
        <v/>
      </c>
      <c r="I54" s="45" t="str">
        <f>IF(E54,IF(MAX(K$13:K53)&lt;journey_cap,MIN(H54,F54-G54),0),"")</f>
        <v/>
      </c>
      <c r="J54" s="46" t="str">
        <f t="shared" si="2"/>
        <v/>
      </c>
      <c r="K54" s="43" t="str">
        <f>IF(E54,MAX(K$13:K53)+IF(AND(I54&gt;0,D54&lt;&gt;"Y"),1,0),"")</f>
        <v/>
      </c>
    </row>
    <row r="55" spans="2:11">
      <c r="B55" s="48" t="s">
        <v>36</v>
      </c>
      <c r="C55" s="48" t="s">
        <v>40</v>
      </c>
      <c r="D55" s="43"/>
      <c r="E55" s="43" t="b">
        <f t="shared" si="0"/>
        <v>1</v>
      </c>
      <c r="F55" s="43">
        <f>IF(E55,INDEX(day_cap,MATCH('Fare Calculator - Advanced'!B55,day,0)),"")</f>
        <v>2.5</v>
      </c>
      <c r="G55" s="44">
        <f>IF(E55,SUMIF(B$13:B54,B55,I$13:I54),"")</f>
        <v>0</v>
      </c>
      <c r="H55" s="45">
        <f t="shared" si="1"/>
        <v>4.7</v>
      </c>
      <c r="I55" s="45">
        <f>IF(E55,IF(MAX(K$13:K54)&lt;journey_cap,MIN(H55,F55-G55),0),"")</f>
        <v>0</v>
      </c>
      <c r="J55" s="46">
        <f t="shared" si="2"/>
        <v>0</v>
      </c>
      <c r="K55" s="43">
        <f>IF(E55,MAX(K$13:K54)+IF(AND(I55&gt;0,D55&lt;&gt;"Y"),1,0),"")</f>
        <v>8</v>
      </c>
    </row>
    <row r="56" spans="2:11">
      <c r="B56" s="48"/>
      <c r="C56" s="48"/>
      <c r="D56" s="43"/>
      <c r="E56" s="43" t="b">
        <f t="shared" si="0"/>
        <v>0</v>
      </c>
      <c r="F56" s="43" t="str">
        <f>IF(E56,INDEX(day_cap,MATCH('Fare Calculator - Advanced'!B56,day,0)),"")</f>
        <v/>
      </c>
      <c r="G56" s="44" t="str">
        <f>IF(E56,SUMIF(B$13:B55,B56,I$13:I55),"")</f>
        <v/>
      </c>
      <c r="H56" s="45" t="str">
        <f t="shared" si="1"/>
        <v/>
      </c>
      <c r="I56" s="45" t="str">
        <f>IF(E56,IF(MAX(K$13:K55)&lt;journey_cap,MIN(H56,F56-G56),0),"")</f>
        <v/>
      </c>
      <c r="J56" s="46" t="str">
        <f t="shared" si="2"/>
        <v/>
      </c>
      <c r="K56" s="43" t="str">
        <f>IF(E56,MAX(K$13:K55)+IF(AND(I56&gt;0,D56&lt;&gt;"Y"),1,0),"")</f>
        <v/>
      </c>
    </row>
    <row r="57" spans="2:11">
      <c r="B57" s="48"/>
      <c r="C57" s="48"/>
      <c r="D57" s="43"/>
      <c r="E57" s="43" t="b">
        <f t="shared" si="0"/>
        <v>0</v>
      </c>
      <c r="F57" s="43" t="str">
        <f>IF(E57,INDEX(day_cap,MATCH('Fare Calculator - Advanced'!B57,day,0)),"")</f>
        <v/>
      </c>
      <c r="G57" s="44" t="str">
        <f>IF(E57,SUMIF(B$13:B56,B57,I$13:I56),"")</f>
        <v/>
      </c>
      <c r="H57" s="45" t="str">
        <f t="shared" si="1"/>
        <v/>
      </c>
      <c r="I57" s="45" t="str">
        <f>IF(E57,IF(MAX(K$13:K56)&lt;journey_cap,MIN(H57,F57-G57),0),"")</f>
        <v/>
      </c>
      <c r="J57" s="46" t="str">
        <f t="shared" si="2"/>
        <v/>
      </c>
      <c r="K57" s="43" t="str">
        <f>IF(E57,MAX(K$13:K56)+IF(AND(I57&gt;0,D57&lt;&gt;"Y"),1,0),"")</f>
        <v/>
      </c>
    </row>
  </sheetData>
  <mergeCells count="2">
    <mergeCell ref="J9:K9"/>
    <mergeCell ref="B9:I9"/>
  </mergeCells>
  <dataValidations count="2">
    <dataValidation type="list" allowBlank="1" showInputMessage="1" showErrorMessage="1" sqref="C13:C57">
      <formula1>fare</formula1>
    </dataValidation>
    <dataValidation type="list" allowBlank="1" showInputMessage="1" showErrorMessage="1" sqref="D13:D57">
      <formula1>"Y,N"</formula1>
    </dataValidation>
  </dataValidation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Tables'!$A$5:$A$12</xm:f>
          </x14:formula1>
          <xm:sqref>B13:B57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32"/>
  <sheetViews>
    <sheetView workbookViewId="0">
      <selection activeCell="B32" sqref="B32"/>
    </sheetView>
  </sheetViews>
  <sheetFormatPr defaultColWidth="10.875" defaultRowHeight="15"/>
  <cols>
    <col min="1" max="1" width="27.375" style="3" bestFit="1" customWidth="1"/>
    <col min="2" max="16384" width="10.875" style="3"/>
  </cols>
  <sheetData>
    <row r="4" spans="1:2">
      <c r="A4" s="2" t="s">
        <v>24</v>
      </c>
      <c r="B4" s="2" t="s">
        <v>29</v>
      </c>
    </row>
    <row r="5" spans="1:2">
      <c r="A5" s="2"/>
      <c r="B5" s="2"/>
    </row>
    <row r="6" spans="1:2">
      <c r="A6" s="2" t="s">
        <v>30</v>
      </c>
      <c r="B6" s="2">
        <v>15</v>
      </c>
    </row>
    <row r="7" spans="1:2">
      <c r="A7" s="2" t="s">
        <v>31</v>
      </c>
      <c r="B7" s="2">
        <v>15</v>
      </c>
    </row>
    <row r="8" spans="1:2">
      <c r="A8" s="2" t="s">
        <v>32</v>
      </c>
      <c r="B8" s="2">
        <v>15</v>
      </c>
    </row>
    <row r="9" spans="1:2">
      <c r="A9" s="2" t="s">
        <v>33</v>
      </c>
      <c r="B9" s="2">
        <v>15</v>
      </c>
    </row>
    <row r="10" spans="1:2">
      <c r="A10" s="2" t="s">
        <v>34</v>
      </c>
      <c r="B10" s="2">
        <v>15</v>
      </c>
    </row>
    <row r="11" spans="1:2">
      <c r="A11" s="2" t="s">
        <v>35</v>
      </c>
      <c r="B11" s="2">
        <v>15</v>
      </c>
    </row>
    <row r="12" spans="1:2">
      <c r="A12" s="2" t="s">
        <v>36</v>
      </c>
      <c r="B12" s="2">
        <v>2.5</v>
      </c>
    </row>
    <row r="14" spans="1:2">
      <c r="A14" s="4" t="s">
        <v>25</v>
      </c>
      <c r="B14" s="5" t="s">
        <v>48</v>
      </c>
    </row>
    <row r="15" spans="1:2">
      <c r="A15" s="6"/>
      <c r="B15" s="7"/>
    </row>
    <row r="16" spans="1:2">
      <c r="A16" s="6" t="s">
        <v>38</v>
      </c>
      <c r="B16" s="7">
        <v>3.3</v>
      </c>
    </row>
    <row r="17" spans="1:2">
      <c r="A17" s="6" t="s">
        <v>39</v>
      </c>
      <c r="B17" s="7">
        <v>4.0999999999999996</v>
      </c>
    </row>
    <row r="18" spans="1:2">
      <c r="A18" s="6" t="s">
        <v>40</v>
      </c>
      <c r="B18" s="7">
        <v>4.7</v>
      </c>
    </row>
    <row r="19" spans="1:2">
      <c r="A19" s="6" t="s">
        <v>41</v>
      </c>
      <c r="B19" s="7">
        <v>6.3</v>
      </c>
    </row>
    <row r="20" spans="1:2">
      <c r="A20" s="6" t="s">
        <v>42</v>
      </c>
      <c r="B20" s="8">
        <v>8.1</v>
      </c>
    </row>
    <row r="21" spans="1:2">
      <c r="A21" s="6" t="s">
        <v>43</v>
      </c>
      <c r="B21" s="7">
        <v>2.31</v>
      </c>
    </row>
    <row r="22" spans="1:2">
      <c r="A22" s="6" t="s">
        <v>44</v>
      </c>
      <c r="B22" s="7">
        <v>2.87</v>
      </c>
    </row>
    <row r="23" spans="1:2">
      <c r="A23" s="6" t="s">
        <v>45</v>
      </c>
      <c r="B23" s="7">
        <v>3.29</v>
      </c>
    </row>
    <row r="24" spans="1:2">
      <c r="A24" s="6" t="s">
        <v>46</v>
      </c>
      <c r="B24" s="7">
        <v>4.41</v>
      </c>
    </row>
    <row r="25" spans="1:2">
      <c r="A25" s="6" t="s">
        <v>47</v>
      </c>
      <c r="B25" s="7">
        <v>5.67</v>
      </c>
    </row>
    <row r="26" spans="1:2">
      <c r="A26" s="9" t="s">
        <v>14</v>
      </c>
      <c r="B26" s="10">
        <v>2.1</v>
      </c>
    </row>
    <row r="27" spans="1:2">
      <c r="A27" s="9" t="s">
        <v>15</v>
      </c>
      <c r="B27" s="10">
        <v>3.5</v>
      </c>
    </row>
    <row r="28" spans="1:2">
      <c r="A28" s="9" t="s">
        <v>16</v>
      </c>
      <c r="B28" s="10">
        <v>4.5</v>
      </c>
    </row>
    <row r="29" spans="1:2">
      <c r="A29" s="9" t="s">
        <v>22</v>
      </c>
      <c r="B29" s="10">
        <v>5.6</v>
      </c>
    </row>
    <row r="30" spans="1:2">
      <c r="A30" s="9" t="s">
        <v>23</v>
      </c>
      <c r="B30" s="10">
        <v>7</v>
      </c>
    </row>
    <row r="32" spans="1:2" ht="30">
      <c r="A32" s="11" t="s">
        <v>55</v>
      </c>
      <c r="B32" s="12">
        <v>8</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70"/>
  <sheetViews>
    <sheetView topLeftCell="A49" zoomScale="85" zoomScaleNormal="85" workbookViewId="0">
      <selection activeCell="K74" sqref="K74"/>
    </sheetView>
  </sheetViews>
  <sheetFormatPr defaultColWidth="10.875" defaultRowHeight="15.75"/>
  <cols>
    <col min="1" max="1" width="10.875" style="1"/>
    <col min="2" max="2" width="25.875" style="1" customWidth="1"/>
    <col min="3" max="3" width="24.125" style="1" bestFit="1" customWidth="1"/>
    <col min="4" max="12" width="7.5" style="1" customWidth="1"/>
    <col min="13" max="18" width="10.875" style="1"/>
    <col min="19" max="19" width="23.125" style="1" bestFit="1" customWidth="1"/>
    <col min="20" max="16384" width="10.875" style="1"/>
  </cols>
  <sheetData>
    <row r="2" spans="2:14">
      <c r="B2" s="15"/>
      <c r="C2" s="15"/>
      <c r="D2" s="15"/>
      <c r="E2" s="15"/>
      <c r="F2" s="15"/>
      <c r="G2" s="15"/>
      <c r="H2" s="15"/>
      <c r="I2" s="15"/>
      <c r="J2" s="15"/>
      <c r="K2" s="15"/>
      <c r="L2" s="15"/>
    </row>
    <row r="3" spans="2:14">
      <c r="B3" s="15"/>
      <c r="C3" s="15"/>
      <c r="D3" s="15"/>
      <c r="E3" s="15"/>
      <c r="F3" s="15"/>
      <c r="G3" s="15"/>
      <c r="H3" s="15"/>
      <c r="I3" s="15"/>
      <c r="J3" s="15"/>
      <c r="K3" s="15"/>
      <c r="L3" s="15"/>
    </row>
    <row r="4" spans="2:14">
      <c r="B4" s="15" t="s">
        <v>60</v>
      </c>
      <c r="C4" s="16"/>
      <c r="D4" s="91" t="s">
        <v>58</v>
      </c>
      <c r="E4" s="91"/>
      <c r="F4" s="91"/>
      <c r="G4" s="91"/>
      <c r="H4" s="91"/>
      <c r="I4" s="91"/>
      <c r="J4" s="91"/>
      <c r="K4" s="91"/>
      <c r="L4" s="91"/>
    </row>
    <row r="5" spans="2:14">
      <c r="B5" s="17" t="s">
        <v>61</v>
      </c>
      <c r="C5" s="16">
        <v>15</v>
      </c>
      <c r="D5" s="15">
        <v>4</v>
      </c>
      <c r="E5" s="15">
        <v>3</v>
      </c>
      <c r="F5" s="15">
        <v>3</v>
      </c>
      <c r="G5" s="15">
        <v>2</v>
      </c>
      <c r="H5" s="15">
        <v>2</v>
      </c>
      <c r="I5" s="15">
        <v>1</v>
      </c>
      <c r="J5" s="15">
        <v>1</v>
      </c>
      <c r="K5" s="15">
        <v>0</v>
      </c>
      <c r="L5" s="15">
        <v>0</v>
      </c>
    </row>
    <row r="6" spans="2:14">
      <c r="B6" s="17" t="s">
        <v>62</v>
      </c>
      <c r="C6" s="16">
        <f>'Weekly Cost Comparison'!$J$26+'Weekly Cost Comparison'!$K$26</f>
        <v>13.77</v>
      </c>
      <c r="D6" s="15">
        <v>0</v>
      </c>
      <c r="E6" s="15">
        <v>1</v>
      </c>
      <c r="F6" s="15">
        <v>0</v>
      </c>
      <c r="G6" s="15">
        <v>1</v>
      </c>
      <c r="H6" s="15">
        <v>0</v>
      </c>
      <c r="I6" s="15">
        <v>1</v>
      </c>
      <c r="J6" s="15">
        <v>0</v>
      </c>
      <c r="K6" s="15">
        <v>1</v>
      </c>
      <c r="L6" s="15">
        <v>0</v>
      </c>
    </row>
    <row r="7" spans="2:14">
      <c r="B7" s="17" t="s">
        <v>63</v>
      </c>
      <c r="C7" s="16">
        <f>'Weekly Cost Comparison'!$K$26*2</f>
        <v>11.34</v>
      </c>
      <c r="D7" s="15">
        <v>0</v>
      </c>
      <c r="E7" s="15">
        <v>0</v>
      </c>
      <c r="F7" s="15">
        <v>1</v>
      </c>
      <c r="G7" s="15">
        <v>1</v>
      </c>
      <c r="H7" s="15">
        <v>2</v>
      </c>
      <c r="I7" s="15">
        <v>2</v>
      </c>
      <c r="J7" s="15">
        <v>3</v>
      </c>
      <c r="K7" s="15">
        <v>3</v>
      </c>
      <c r="L7" s="15">
        <v>4</v>
      </c>
    </row>
    <row r="8" spans="2:14">
      <c r="B8" s="17"/>
      <c r="C8" s="16"/>
      <c r="D8" s="91" t="s">
        <v>64</v>
      </c>
      <c r="E8" s="91"/>
      <c r="F8" s="91"/>
      <c r="G8" s="91"/>
      <c r="H8" s="91"/>
      <c r="I8" s="91"/>
      <c r="J8" s="91"/>
      <c r="K8" s="91"/>
      <c r="L8" s="91"/>
    </row>
    <row r="9" spans="2:14">
      <c r="B9" s="17"/>
      <c r="C9" s="16"/>
      <c r="D9" s="15">
        <v>4</v>
      </c>
      <c r="E9" s="15">
        <v>3</v>
      </c>
      <c r="F9" s="15">
        <v>2</v>
      </c>
      <c r="G9" s="15">
        <v>1</v>
      </c>
      <c r="H9" s="15">
        <v>0</v>
      </c>
      <c r="I9" s="15">
        <v>0</v>
      </c>
      <c r="J9" s="15">
        <v>0</v>
      </c>
      <c r="K9" s="15">
        <v>0</v>
      </c>
      <c r="L9" s="15">
        <v>0</v>
      </c>
    </row>
    <row r="10" spans="2:14">
      <c r="B10" s="17"/>
      <c r="C10" s="16"/>
      <c r="D10" s="15">
        <v>0</v>
      </c>
      <c r="E10" s="15">
        <v>1</v>
      </c>
      <c r="F10" s="15">
        <v>2</v>
      </c>
      <c r="G10" s="15">
        <v>3</v>
      </c>
      <c r="H10" s="15">
        <v>4</v>
      </c>
      <c r="I10" s="15">
        <v>3</v>
      </c>
      <c r="J10" s="15">
        <v>2</v>
      </c>
      <c r="K10" s="15">
        <v>1</v>
      </c>
      <c r="L10" s="15">
        <v>0</v>
      </c>
    </row>
    <row r="11" spans="2:14">
      <c r="B11" s="17"/>
      <c r="C11" s="16"/>
      <c r="D11" s="15">
        <v>0</v>
      </c>
      <c r="E11" s="15">
        <v>0</v>
      </c>
      <c r="F11" s="15">
        <v>0</v>
      </c>
      <c r="G11" s="15">
        <v>0</v>
      </c>
      <c r="H11" s="15">
        <v>0</v>
      </c>
      <c r="I11" s="15">
        <v>1</v>
      </c>
      <c r="J11" s="15">
        <v>2</v>
      </c>
      <c r="K11" s="15">
        <v>3</v>
      </c>
      <c r="L11" s="15">
        <v>4</v>
      </c>
    </row>
    <row r="12" spans="2:14">
      <c r="B12" s="15"/>
      <c r="C12" s="15"/>
      <c r="D12" s="15"/>
      <c r="E12" s="15"/>
      <c r="F12" s="15"/>
      <c r="G12" s="15"/>
      <c r="H12" s="15"/>
      <c r="I12" s="15"/>
      <c r="J12" s="15"/>
      <c r="K12" s="15"/>
      <c r="L12" s="15"/>
    </row>
    <row r="13" spans="2:14">
      <c r="B13" s="15"/>
      <c r="C13" s="15"/>
      <c r="D13" s="15"/>
      <c r="E13" s="15"/>
      <c r="F13" s="15"/>
      <c r="G13" s="15"/>
      <c r="H13" s="15"/>
      <c r="I13" s="15"/>
      <c r="J13" s="15"/>
      <c r="K13" s="15"/>
      <c r="L13" s="15"/>
    </row>
    <row r="14" spans="2:14">
      <c r="B14" s="15"/>
      <c r="C14" s="15"/>
      <c r="D14" s="15"/>
      <c r="E14" s="15"/>
      <c r="F14" s="15"/>
      <c r="G14" s="15"/>
      <c r="H14" s="15"/>
      <c r="I14" s="15"/>
      <c r="J14" s="15"/>
      <c r="K14" s="15"/>
      <c r="L14" s="15"/>
    </row>
    <row r="15" spans="2:14">
      <c r="B15" s="15"/>
      <c r="C15" s="15"/>
      <c r="D15" s="15"/>
      <c r="E15" s="15"/>
      <c r="F15" s="15"/>
      <c r="G15" s="15"/>
      <c r="H15" s="15"/>
      <c r="I15" s="15"/>
      <c r="J15" s="15"/>
      <c r="K15" s="15"/>
      <c r="L15" s="15"/>
    </row>
    <row r="16" spans="2:14">
      <c r="B16" s="18"/>
      <c r="C16" s="18"/>
      <c r="D16" s="18"/>
      <c r="E16" s="18"/>
      <c r="F16" s="18"/>
      <c r="G16" s="18"/>
      <c r="H16" s="18"/>
      <c r="I16" s="18"/>
      <c r="J16" s="18"/>
      <c r="K16" s="18"/>
      <c r="L16" s="18"/>
      <c r="M16" s="19"/>
      <c r="N16" s="19"/>
    </row>
    <row r="17" spans="2:22">
      <c r="B17" s="18"/>
      <c r="C17" s="81" t="s">
        <v>68</v>
      </c>
      <c r="D17" s="82"/>
      <c r="E17" s="82"/>
      <c r="F17" s="82"/>
      <c r="G17" s="82"/>
      <c r="H17" s="82"/>
      <c r="I17" s="82"/>
      <c r="J17" s="82"/>
      <c r="K17" s="82"/>
      <c r="L17" s="83"/>
      <c r="M17" s="19"/>
      <c r="N17" s="19"/>
      <c r="S17" s="92" t="s">
        <v>92</v>
      </c>
      <c r="T17" s="92"/>
      <c r="U17" s="92"/>
      <c r="V17" s="92"/>
    </row>
    <row r="18" spans="2:22">
      <c r="B18" s="18"/>
      <c r="C18" s="81" t="s">
        <v>69</v>
      </c>
      <c r="D18" s="82"/>
      <c r="E18" s="82"/>
      <c r="F18" s="82"/>
      <c r="G18" s="82"/>
      <c r="H18" s="82"/>
      <c r="I18" s="82"/>
      <c r="J18" s="82"/>
      <c r="K18" s="82"/>
      <c r="L18" s="83"/>
      <c r="M18" s="19"/>
      <c r="N18" s="19"/>
      <c r="S18" s="92" t="str">
        <f>C18</f>
        <v>Commute sometimes during off-peak</v>
      </c>
      <c r="T18" s="92"/>
      <c r="U18" s="92"/>
      <c r="V18" s="92"/>
    </row>
    <row r="19" spans="2:22" ht="31.5">
      <c r="B19" s="18"/>
      <c r="C19" s="13" t="s">
        <v>87</v>
      </c>
      <c r="D19" s="14">
        <v>0</v>
      </c>
      <c r="E19" s="14">
        <v>1</v>
      </c>
      <c r="F19" s="14">
        <v>2</v>
      </c>
      <c r="G19" s="14">
        <v>3</v>
      </c>
      <c r="H19" s="14">
        <v>4</v>
      </c>
      <c r="I19" s="14">
        <v>5</v>
      </c>
      <c r="J19" s="14">
        <v>6</v>
      </c>
      <c r="K19" s="14">
        <v>7</v>
      </c>
      <c r="L19" s="14">
        <v>8</v>
      </c>
      <c r="M19" s="19"/>
      <c r="N19" s="19" t="s">
        <v>49</v>
      </c>
      <c r="O19" s="1" t="s">
        <v>65</v>
      </c>
      <c r="P19" s="1" t="s">
        <v>66</v>
      </c>
      <c r="Q19" s="1" t="s">
        <v>67</v>
      </c>
      <c r="S19" s="1" t="s">
        <v>91</v>
      </c>
      <c r="T19" s="1" t="s">
        <v>7</v>
      </c>
      <c r="U19" s="1" t="s">
        <v>6</v>
      </c>
      <c r="V19" s="1" t="s">
        <v>5</v>
      </c>
    </row>
    <row r="20" spans="2:22">
      <c r="B20" s="18"/>
      <c r="C20" s="20" t="s">
        <v>17</v>
      </c>
      <c r="D20" s="21">
        <f>'Weekly Cost Comparison'!J46</f>
        <v>26.4</v>
      </c>
      <c r="E20" s="21">
        <f t="shared" ref="E20:K23" si="0">$D20-($D20-$L20)*E$19/8</f>
        <v>25.41</v>
      </c>
      <c r="F20" s="21">
        <f t="shared" si="0"/>
        <v>24.419999999999998</v>
      </c>
      <c r="G20" s="21">
        <f t="shared" si="0"/>
        <v>23.43</v>
      </c>
      <c r="H20" s="21">
        <f t="shared" si="0"/>
        <v>22.439999999999998</v>
      </c>
      <c r="I20" s="21">
        <f t="shared" si="0"/>
        <v>21.45</v>
      </c>
      <c r="J20" s="21">
        <f t="shared" si="0"/>
        <v>20.46</v>
      </c>
      <c r="K20" s="21">
        <f t="shared" si="0"/>
        <v>19.47</v>
      </c>
      <c r="L20" s="21">
        <f>'Weekly Cost Comparison'!K46</f>
        <v>18.48</v>
      </c>
      <c r="M20" s="19"/>
      <c r="N20" s="22">
        <f>'Weekly Cost Comparison'!C46</f>
        <v>21.479452054794518</v>
      </c>
      <c r="O20" s="22">
        <f>'Weekly Cost Comparison'!D46</f>
        <v>21.777777777777779</v>
      </c>
      <c r="P20" s="22">
        <f>'Weekly Cost Comparison'!E46</f>
        <v>25.5</v>
      </c>
      <c r="Q20" s="22">
        <f>'Weekly Cost Comparison'!F46</f>
        <v>28</v>
      </c>
      <c r="S20" s="1" t="str">
        <f t="shared" ref="S20:S25" si="1">C20</f>
        <v>MyTrain1 (0-10km)</v>
      </c>
      <c r="T20" s="25">
        <f t="shared" ref="T20:V25" si="2">($D20-N20)*8/($D20-$L20)</f>
        <v>4.9702504497025073</v>
      </c>
      <c r="U20" s="25">
        <f t="shared" si="2"/>
        <v>4.6689113355780014</v>
      </c>
      <c r="V20" s="25">
        <f t="shared" si="2"/>
        <v>0.90909090909090784</v>
      </c>
    </row>
    <row r="21" spans="2:22">
      <c r="B21" s="18"/>
      <c r="C21" s="20" t="s">
        <v>18</v>
      </c>
      <c r="D21" s="21">
        <f>'Weekly Cost Comparison'!J47</f>
        <v>32.799999999999997</v>
      </c>
      <c r="E21" s="21">
        <f t="shared" si="0"/>
        <v>31.569999999999997</v>
      </c>
      <c r="F21" s="21">
        <f t="shared" si="0"/>
        <v>30.339999999999996</v>
      </c>
      <c r="G21" s="21">
        <f t="shared" si="0"/>
        <v>29.11</v>
      </c>
      <c r="H21" s="21">
        <f t="shared" si="0"/>
        <v>27.88</v>
      </c>
      <c r="I21" s="21">
        <f t="shared" si="0"/>
        <v>26.65</v>
      </c>
      <c r="J21" s="21">
        <f t="shared" si="0"/>
        <v>25.42</v>
      </c>
      <c r="K21" s="21">
        <f t="shared" si="0"/>
        <v>24.19</v>
      </c>
      <c r="L21" s="21">
        <f>'Weekly Cost Comparison'!K47</f>
        <v>22.96</v>
      </c>
      <c r="M21" s="19"/>
      <c r="N21" s="22">
        <f>'Weekly Cost Comparison'!C47</f>
        <v>26.849315068493148</v>
      </c>
      <c r="O21" s="22">
        <f>'Weekly Cost Comparison'!D47</f>
        <v>27.222222222222221</v>
      </c>
      <c r="P21" s="22">
        <f>'Weekly Cost Comparison'!E47</f>
        <v>31.75</v>
      </c>
      <c r="Q21" s="22">
        <f>'Weekly Cost Comparison'!F47</f>
        <v>35</v>
      </c>
      <c r="S21" s="1" t="str">
        <f t="shared" si="1"/>
        <v>MyTrain2 (10-20km)</v>
      </c>
      <c r="T21" s="25">
        <f t="shared" si="2"/>
        <v>4.8379552288673588</v>
      </c>
      <c r="U21" s="25">
        <f t="shared" si="2"/>
        <v>4.5347786811201445</v>
      </c>
      <c r="V21" s="25">
        <f t="shared" si="2"/>
        <v>0.85365853658536384</v>
      </c>
    </row>
    <row r="22" spans="2:22">
      <c r="B22" s="18"/>
      <c r="C22" s="20" t="s">
        <v>19</v>
      </c>
      <c r="D22" s="21">
        <f>'Weekly Cost Comparison'!J48</f>
        <v>37.6</v>
      </c>
      <c r="E22" s="21">
        <f t="shared" si="0"/>
        <v>36.19</v>
      </c>
      <c r="F22" s="21">
        <f t="shared" si="0"/>
        <v>34.78</v>
      </c>
      <c r="G22" s="21">
        <f t="shared" si="0"/>
        <v>33.370000000000005</v>
      </c>
      <c r="H22" s="21">
        <f t="shared" si="0"/>
        <v>31.96</v>
      </c>
      <c r="I22" s="21">
        <f t="shared" si="0"/>
        <v>30.55</v>
      </c>
      <c r="J22" s="21">
        <f t="shared" si="0"/>
        <v>29.14</v>
      </c>
      <c r="K22" s="21">
        <f t="shared" si="0"/>
        <v>27.73</v>
      </c>
      <c r="L22" s="21">
        <f>'Weekly Cost Comparison'!K48</f>
        <v>26.32</v>
      </c>
      <c r="M22" s="19"/>
      <c r="N22" s="22">
        <f>'Weekly Cost Comparison'!C48</f>
        <v>31.452054794520546</v>
      </c>
      <c r="O22" s="22">
        <f>'Weekly Cost Comparison'!D48</f>
        <v>31.888888888888889</v>
      </c>
      <c r="P22" s="22">
        <f>'Weekly Cost Comparison'!E48</f>
        <v>37.25</v>
      </c>
      <c r="Q22" s="22">
        <f>'Weekly Cost Comparison'!F48</f>
        <v>41</v>
      </c>
      <c r="S22" s="1" t="str">
        <f t="shared" si="1"/>
        <v>MyTrain3 (20-35km)</v>
      </c>
      <c r="T22" s="25">
        <f t="shared" si="2"/>
        <v>4.360244826581174</v>
      </c>
      <c r="U22" s="25">
        <f t="shared" si="2"/>
        <v>4.0504334121355399</v>
      </c>
      <c r="V22" s="25">
        <f t="shared" si="2"/>
        <v>0.24822695035461093</v>
      </c>
    </row>
    <row r="23" spans="2:22">
      <c r="B23" s="18"/>
      <c r="C23" s="20" t="s">
        <v>20</v>
      </c>
      <c r="D23" s="21">
        <f>'Weekly Cost Comparison'!J49</f>
        <v>50.4</v>
      </c>
      <c r="E23" s="21">
        <f t="shared" si="0"/>
        <v>48.51</v>
      </c>
      <c r="F23" s="21">
        <f t="shared" si="0"/>
        <v>46.62</v>
      </c>
      <c r="G23" s="21">
        <f t="shared" si="0"/>
        <v>44.73</v>
      </c>
      <c r="H23" s="21">
        <f t="shared" si="0"/>
        <v>42.84</v>
      </c>
      <c r="I23" s="21">
        <f t="shared" si="0"/>
        <v>40.950000000000003</v>
      </c>
      <c r="J23" s="21">
        <f t="shared" si="0"/>
        <v>39.06</v>
      </c>
      <c r="K23" s="21">
        <f t="shared" si="0"/>
        <v>37.17</v>
      </c>
      <c r="L23" s="21">
        <f>'Weekly Cost Comparison'!K49</f>
        <v>35.28</v>
      </c>
      <c r="M23" s="19"/>
      <c r="N23" s="22">
        <f>'Weekly Cost Comparison'!C49</f>
        <v>39.890410958904106</v>
      </c>
      <c r="O23" s="22">
        <f>'Weekly Cost Comparison'!D49</f>
        <v>40.444444444444443</v>
      </c>
      <c r="P23" s="22">
        <f>'Weekly Cost Comparison'!E49</f>
        <v>47.25</v>
      </c>
      <c r="Q23" s="22">
        <f>'Weekly Cost Comparison'!F49</f>
        <v>52</v>
      </c>
      <c r="S23" s="1" t="str">
        <f t="shared" si="1"/>
        <v>MyTrain4 (35-65km)</v>
      </c>
      <c r="T23" s="25">
        <f t="shared" si="2"/>
        <v>5.5606291222729602</v>
      </c>
      <c r="U23" s="25">
        <f t="shared" si="2"/>
        <v>5.2674897119341573</v>
      </c>
      <c r="V23" s="25">
        <f t="shared" si="2"/>
        <v>1.6666666666666663</v>
      </c>
    </row>
    <row r="24" spans="2:22">
      <c r="B24" s="18"/>
      <c r="C24" s="20" t="s">
        <v>81</v>
      </c>
      <c r="D24" s="21">
        <f>SUMPRODUCT($C$5:$C$7,D$5:D$7)</f>
        <v>60</v>
      </c>
      <c r="E24" s="21">
        <f t="shared" ref="E24:L24" si="3">SUMPRODUCT($C$5:$C$7,E$5:E$7)</f>
        <v>58.769999999999996</v>
      </c>
      <c r="F24" s="21">
        <f t="shared" si="3"/>
        <v>56.34</v>
      </c>
      <c r="G24" s="21">
        <f t="shared" si="3"/>
        <v>55.11</v>
      </c>
      <c r="H24" s="21">
        <f t="shared" si="3"/>
        <v>52.68</v>
      </c>
      <c r="I24" s="21">
        <f t="shared" si="3"/>
        <v>51.45</v>
      </c>
      <c r="J24" s="21">
        <f t="shared" si="3"/>
        <v>49.019999999999996</v>
      </c>
      <c r="K24" s="21">
        <f t="shared" si="3"/>
        <v>47.789999999999992</v>
      </c>
      <c r="L24" s="21">
        <f t="shared" si="3"/>
        <v>45.36</v>
      </c>
      <c r="M24" s="19"/>
      <c r="N24" s="22">
        <f>'Weekly Cost Comparison'!C50</f>
        <v>46.794520547945204</v>
      </c>
      <c r="O24" s="22">
        <f>'Weekly Cost Comparison'!D50</f>
        <v>47.444444444444443</v>
      </c>
      <c r="P24" s="22">
        <f>'Weekly Cost Comparison'!E50</f>
        <v>55.5</v>
      </c>
      <c r="Q24" s="22">
        <f>'Weekly Cost Comparison'!F50</f>
        <v>61</v>
      </c>
      <c r="S24" s="1" t="str">
        <f t="shared" si="1"/>
        <v>MyTrain5 (65km+) - Best</v>
      </c>
      <c r="T24" s="25">
        <f t="shared" si="2"/>
        <v>7.2161089901938773</v>
      </c>
      <c r="U24" s="25">
        <f t="shared" si="2"/>
        <v>6.8609593199757137</v>
      </c>
      <c r="V24" s="25">
        <f t="shared" si="2"/>
        <v>2.459016393442623</v>
      </c>
    </row>
    <row r="25" spans="2:22">
      <c r="B25" s="18"/>
      <c r="C25" s="20" t="s">
        <v>82</v>
      </c>
      <c r="D25" s="21">
        <f>SUMPRODUCT($C$5:$C$7,D$9:D$11)</f>
        <v>60</v>
      </c>
      <c r="E25" s="21">
        <f t="shared" ref="E25:L25" si="4">SUMPRODUCT($C$5:$C$7,E$9:E$11)</f>
        <v>58.769999999999996</v>
      </c>
      <c r="F25" s="21">
        <f t="shared" si="4"/>
        <v>57.54</v>
      </c>
      <c r="G25" s="21">
        <f t="shared" si="4"/>
        <v>56.31</v>
      </c>
      <c r="H25" s="21">
        <f t="shared" si="4"/>
        <v>55.08</v>
      </c>
      <c r="I25" s="21">
        <f t="shared" si="4"/>
        <v>52.650000000000006</v>
      </c>
      <c r="J25" s="21">
        <f t="shared" si="4"/>
        <v>50.22</v>
      </c>
      <c r="K25" s="21">
        <f t="shared" si="4"/>
        <v>47.789999999999992</v>
      </c>
      <c r="L25" s="21">
        <f t="shared" si="4"/>
        <v>45.36</v>
      </c>
      <c r="M25" s="19"/>
      <c r="N25" s="22">
        <f t="shared" ref="N25" si="5">N24</f>
        <v>46.794520547945204</v>
      </c>
      <c r="O25" s="22">
        <f>O24</f>
        <v>47.444444444444443</v>
      </c>
      <c r="P25" s="22">
        <f>P24</f>
        <v>55.5</v>
      </c>
      <c r="Q25" s="22">
        <f>Q24</f>
        <v>61</v>
      </c>
      <c r="S25" s="1" t="str">
        <f t="shared" si="1"/>
        <v>MyTrain5 (65km+) - Worst</v>
      </c>
      <c r="T25" s="25">
        <f t="shared" si="2"/>
        <v>7.2161089901938773</v>
      </c>
      <c r="U25" s="25">
        <f t="shared" si="2"/>
        <v>6.8609593199757137</v>
      </c>
      <c r="V25" s="25">
        <f t="shared" si="2"/>
        <v>2.459016393442623</v>
      </c>
    </row>
    <row r="26" spans="2:22" ht="30" customHeight="1">
      <c r="B26" s="15"/>
      <c r="C26" s="15"/>
      <c r="D26" s="84" t="s">
        <v>84</v>
      </c>
      <c r="E26" s="85"/>
      <c r="F26" s="85"/>
      <c r="G26" s="86" t="s">
        <v>85</v>
      </c>
      <c r="H26" s="87"/>
      <c r="I26" s="87"/>
      <c r="J26" s="88" t="s">
        <v>75</v>
      </c>
      <c r="K26" s="89"/>
      <c r="L26" s="90"/>
      <c r="R26" s="24" t="s">
        <v>83</v>
      </c>
      <c r="S26" s="24"/>
    </row>
    <row r="27" spans="2:22">
      <c r="B27" s="19"/>
      <c r="C27" s="19"/>
      <c r="D27" s="19"/>
      <c r="E27" s="19"/>
      <c r="F27" s="19"/>
      <c r="G27" s="19"/>
      <c r="H27" s="19"/>
      <c r="I27" s="19"/>
      <c r="J27" s="19"/>
      <c r="K27" s="19"/>
      <c r="L27" s="19"/>
      <c r="M27" s="19"/>
    </row>
    <row r="29" spans="2:22">
      <c r="B29" s="15" t="s">
        <v>60</v>
      </c>
      <c r="C29" s="16"/>
      <c r="D29" s="91" t="s">
        <v>72</v>
      </c>
      <c r="E29" s="91"/>
      <c r="F29" s="91"/>
      <c r="G29" s="91"/>
      <c r="H29" s="91"/>
      <c r="I29" s="91"/>
      <c r="J29" s="91"/>
      <c r="K29" s="91"/>
      <c r="L29" s="91"/>
    </row>
    <row r="30" spans="2:22">
      <c r="B30" s="17" t="s">
        <v>61</v>
      </c>
      <c r="C30" s="16">
        <v>15</v>
      </c>
      <c r="D30" s="15">
        <v>4</v>
      </c>
      <c r="E30" s="15">
        <v>3</v>
      </c>
      <c r="F30" s="15">
        <v>3</v>
      </c>
      <c r="G30" s="15">
        <v>2</v>
      </c>
      <c r="H30" s="15">
        <v>2</v>
      </c>
      <c r="I30" s="15"/>
      <c r="J30" s="15"/>
      <c r="K30" s="15"/>
      <c r="L30" s="15"/>
      <c r="M30" s="15"/>
      <c r="N30" s="15"/>
    </row>
    <row r="31" spans="2:22">
      <c r="B31" s="17" t="s">
        <v>74</v>
      </c>
      <c r="C31" s="16">
        <f>'Weekly Cost Comparison'!$J$26+'Weekly Cost Comparison'!$K$22</f>
        <v>10.41</v>
      </c>
      <c r="D31" s="15">
        <v>0</v>
      </c>
      <c r="E31" s="15">
        <v>0</v>
      </c>
      <c r="F31" s="15">
        <v>0</v>
      </c>
      <c r="G31" s="15">
        <v>0</v>
      </c>
      <c r="H31" s="15">
        <v>0</v>
      </c>
      <c r="I31" s="15"/>
      <c r="J31" s="15"/>
      <c r="K31" s="15"/>
      <c r="L31" s="15"/>
      <c r="M31" s="15"/>
      <c r="N31" s="15"/>
    </row>
    <row r="32" spans="2:22">
      <c r="B32" s="17" t="s">
        <v>73</v>
      </c>
      <c r="C32" s="16">
        <f>'Weekly Cost Comparison'!$J$26</f>
        <v>8.1</v>
      </c>
      <c r="D32" s="15">
        <v>0</v>
      </c>
      <c r="E32" s="15">
        <v>1</v>
      </c>
      <c r="F32" s="15">
        <v>0</v>
      </c>
      <c r="G32" s="15">
        <v>1</v>
      </c>
      <c r="H32" s="15">
        <v>0</v>
      </c>
      <c r="I32" s="15"/>
      <c r="J32" s="15"/>
      <c r="K32" s="15"/>
      <c r="L32" s="15"/>
      <c r="M32" s="15"/>
      <c r="N32" s="15"/>
    </row>
    <row r="33" spans="2:22">
      <c r="B33" s="17"/>
      <c r="C33" s="16"/>
      <c r="D33" s="91" t="s">
        <v>71</v>
      </c>
      <c r="E33" s="91"/>
      <c r="F33" s="91"/>
      <c r="G33" s="91"/>
      <c r="H33" s="91"/>
      <c r="I33" s="91"/>
      <c r="J33" s="91"/>
      <c r="K33" s="91"/>
      <c r="L33" s="91"/>
    </row>
    <row r="34" spans="2:22">
      <c r="B34" s="17"/>
      <c r="C34" s="16"/>
      <c r="D34" s="15">
        <v>4</v>
      </c>
      <c r="E34" s="15">
        <v>3</v>
      </c>
      <c r="F34" s="15">
        <v>3</v>
      </c>
      <c r="G34" s="15">
        <v>2</v>
      </c>
      <c r="H34" s="15"/>
      <c r="I34" s="15"/>
      <c r="J34" s="15"/>
      <c r="K34" s="15"/>
      <c r="L34" s="15"/>
    </row>
    <row r="35" spans="2:22">
      <c r="B35" s="17"/>
      <c r="C35" s="16"/>
      <c r="D35" s="15">
        <v>0</v>
      </c>
      <c r="E35" s="15">
        <v>0</v>
      </c>
      <c r="F35" s="15">
        <v>0</v>
      </c>
      <c r="G35" s="15">
        <v>1</v>
      </c>
      <c r="H35" s="15"/>
      <c r="I35" s="15"/>
      <c r="J35" s="15"/>
      <c r="K35" s="15"/>
      <c r="L35" s="15"/>
    </row>
    <row r="36" spans="2:22">
      <c r="B36" s="17"/>
      <c r="C36" s="16"/>
      <c r="D36" s="15">
        <v>0</v>
      </c>
      <c r="E36" s="15">
        <v>1</v>
      </c>
      <c r="F36" s="15">
        <v>0</v>
      </c>
      <c r="G36" s="15">
        <v>0</v>
      </c>
      <c r="H36" s="15"/>
      <c r="I36" s="15"/>
      <c r="J36" s="15"/>
      <c r="K36" s="15"/>
      <c r="L36" s="15"/>
    </row>
    <row r="37" spans="2:22">
      <c r="B37" s="19"/>
      <c r="C37" s="19"/>
      <c r="D37" s="19"/>
      <c r="E37" s="19"/>
      <c r="F37" s="19"/>
      <c r="G37" s="19"/>
      <c r="H37" s="19"/>
      <c r="I37" s="19"/>
      <c r="J37" s="19"/>
      <c r="K37" s="19"/>
      <c r="L37" s="19"/>
      <c r="M37" s="19"/>
    </row>
    <row r="38" spans="2:22">
      <c r="B38" s="19"/>
      <c r="C38" s="81" t="s">
        <v>68</v>
      </c>
      <c r="D38" s="82"/>
      <c r="E38" s="82"/>
      <c r="F38" s="82"/>
      <c r="G38" s="82"/>
      <c r="H38" s="82"/>
      <c r="I38" s="82"/>
      <c r="J38" s="82"/>
      <c r="K38" s="82"/>
      <c r="L38" s="83"/>
      <c r="M38" s="19"/>
      <c r="S38" s="92" t="s">
        <v>93</v>
      </c>
      <c r="T38" s="92"/>
      <c r="U38" s="92"/>
      <c r="V38" s="92"/>
    </row>
    <row r="39" spans="2:22">
      <c r="B39" s="19"/>
      <c r="C39" s="81" t="s">
        <v>70</v>
      </c>
      <c r="D39" s="82"/>
      <c r="E39" s="82"/>
      <c r="F39" s="82"/>
      <c r="G39" s="82"/>
      <c r="H39" s="82"/>
      <c r="I39" s="82"/>
      <c r="J39" s="82"/>
      <c r="K39" s="82"/>
      <c r="L39" s="83"/>
      <c r="M39" s="19"/>
      <c r="S39" s="92" t="str">
        <f>C39</f>
        <v>Make additional off-peak MyTrain1 Journeys before achieving weekly travel reward</v>
      </c>
      <c r="T39" s="92"/>
      <c r="U39" s="92"/>
      <c r="V39" s="92"/>
    </row>
    <row r="40" spans="2:22" ht="31.5">
      <c r="B40" s="19"/>
      <c r="C40" s="13" t="s">
        <v>80</v>
      </c>
      <c r="D40" s="14">
        <v>0</v>
      </c>
      <c r="E40" s="14">
        <v>1</v>
      </c>
      <c r="F40" s="14">
        <v>2</v>
      </c>
      <c r="G40" s="14">
        <v>3</v>
      </c>
      <c r="H40" s="14">
        <v>4</v>
      </c>
      <c r="I40" s="14">
        <v>5</v>
      </c>
      <c r="J40" s="14">
        <v>6</v>
      </c>
      <c r="K40" s="14">
        <v>7</v>
      </c>
      <c r="L40" s="14">
        <v>8</v>
      </c>
      <c r="M40" s="19"/>
      <c r="N40" s="19" t="s">
        <v>49</v>
      </c>
      <c r="O40" s="1" t="s">
        <v>65</v>
      </c>
      <c r="P40" s="1" t="s">
        <v>66</v>
      </c>
      <c r="S40" s="1" t="s">
        <v>91</v>
      </c>
      <c r="T40" s="1" t="s">
        <v>7</v>
      </c>
      <c r="U40" s="1" t="s">
        <v>6</v>
      </c>
      <c r="V40" s="1" t="s">
        <v>5</v>
      </c>
    </row>
    <row r="41" spans="2:22">
      <c r="B41" s="19"/>
      <c r="C41" s="20" t="s">
        <v>17</v>
      </c>
      <c r="D41" s="21">
        <f>'Weekly Cost Comparison'!J46</f>
        <v>26.4</v>
      </c>
      <c r="E41" s="21">
        <f t="shared" ref="E41:K44" si="6">$D41-($D41-$L41)*E$19/8</f>
        <v>25.41</v>
      </c>
      <c r="F41" s="21">
        <f t="shared" si="6"/>
        <v>24.419999999999998</v>
      </c>
      <c r="G41" s="21">
        <f t="shared" si="6"/>
        <v>23.43</v>
      </c>
      <c r="H41" s="21">
        <f t="shared" si="6"/>
        <v>22.439999999999998</v>
      </c>
      <c r="I41" s="21">
        <f t="shared" si="6"/>
        <v>21.45</v>
      </c>
      <c r="J41" s="21">
        <f t="shared" si="6"/>
        <v>20.46</v>
      </c>
      <c r="K41" s="21">
        <f t="shared" si="6"/>
        <v>19.47</v>
      </c>
      <c r="L41" s="21">
        <f>'Weekly Cost Comparison'!$K$46</f>
        <v>18.48</v>
      </c>
      <c r="M41" s="19"/>
      <c r="N41" s="22">
        <f>'Weekly Cost Comparison'!C46</f>
        <v>21.479452054794518</v>
      </c>
      <c r="O41" s="22">
        <f>'Weekly Cost Comparison'!D46</f>
        <v>21.777777777777779</v>
      </c>
      <c r="P41" s="22">
        <f>'Weekly Cost Comparison'!E46</f>
        <v>25.5</v>
      </c>
      <c r="Q41" s="22">
        <f>'Weekly Cost Comparison'!F46</f>
        <v>28</v>
      </c>
      <c r="S41" s="1" t="str">
        <f t="shared" ref="S41:S46" si="7">C41</f>
        <v>MyTrain1 (0-10km)</v>
      </c>
      <c r="T41" s="25">
        <f t="shared" ref="T41:V46" si="8">($D41-N41)*8/($D41-$L41)</f>
        <v>4.9702504497025073</v>
      </c>
      <c r="U41" s="25">
        <f t="shared" si="8"/>
        <v>4.6689113355780014</v>
      </c>
      <c r="V41" s="25">
        <f t="shared" si="8"/>
        <v>0.90909090909090784</v>
      </c>
    </row>
    <row r="42" spans="2:22">
      <c r="B42" s="19"/>
      <c r="C42" s="20" t="s">
        <v>18</v>
      </c>
      <c r="D42" s="21">
        <f>'Weekly Cost Comparison'!J47</f>
        <v>32.799999999999997</v>
      </c>
      <c r="E42" s="21">
        <f t="shared" si="6"/>
        <v>31.009999999999998</v>
      </c>
      <c r="F42" s="21">
        <f t="shared" si="6"/>
        <v>29.22</v>
      </c>
      <c r="G42" s="21">
        <f t="shared" si="6"/>
        <v>27.43</v>
      </c>
      <c r="H42" s="21">
        <f t="shared" si="6"/>
        <v>25.64</v>
      </c>
      <c r="I42" s="21">
        <f t="shared" si="6"/>
        <v>23.85</v>
      </c>
      <c r="J42" s="21">
        <f t="shared" si="6"/>
        <v>22.06</v>
      </c>
      <c r="K42" s="21">
        <f t="shared" si="6"/>
        <v>20.27</v>
      </c>
      <c r="L42" s="21">
        <f>'Weekly Cost Comparison'!$K$46</f>
        <v>18.48</v>
      </c>
      <c r="M42" s="19"/>
      <c r="N42" s="22">
        <f>'Weekly Cost Comparison'!C47</f>
        <v>26.849315068493148</v>
      </c>
      <c r="O42" s="22">
        <f>'Weekly Cost Comparison'!D47</f>
        <v>27.222222222222221</v>
      </c>
      <c r="P42" s="22">
        <f>'Weekly Cost Comparison'!E47</f>
        <v>31.75</v>
      </c>
      <c r="Q42" s="22">
        <f>'Weekly Cost Comparison'!F47</f>
        <v>35</v>
      </c>
      <c r="S42" s="1" t="str">
        <f t="shared" si="7"/>
        <v>MyTrain2 (10-20km)</v>
      </c>
      <c r="T42" s="25">
        <f t="shared" si="8"/>
        <v>3.3244049896686318</v>
      </c>
      <c r="U42" s="25">
        <f t="shared" si="8"/>
        <v>3.1160769708255738</v>
      </c>
      <c r="V42" s="25">
        <f t="shared" si="8"/>
        <v>0.58659217877094827</v>
      </c>
    </row>
    <row r="43" spans="2:22">
      <c r="B43" s="19"/>
      <c r="C43" s="20" t="s">
        <v>19</v>
      </c>
      <c r="D43" s="21">
        <f>'Weekly Cost Comparison'!J48</f>
        <v>37.6</v>
      </c>
      <c r="E43" s="21">
        <f t="shared" si="6"/>
        <v>35.21</v>
      </c>
      <c r="F43" s="21">
        <f t="shared" si="6"/>
        <v>32.82</v>
      </c>
      <c r="G43" s="21">
        <f t="shared" si="6"/>
        <v>30.43</v>
      </c>
      <c r="H43" s="21">
        <f t="shared" si="6"/>
        <v>28.04</v>
      </c>
      <c r="I43" s="21">
        <f t="shared" si="6"/>
        <v>25.65</v>
      </c>
      <c r="J43" s="21">
        <f t="shared" si="6"/>
        <v>23.26</v>
      </c>
      <c r="K43" s="21">
        <f t="shared" si="6"/>
        <v>20.87</v>
      </c>
      <c r="L43" s="21">
        <f>'Weekly Cost Comparison'!$K$46</f>
        <v>18.48</v>
      </c>
      <c r="M43" s="19"/>
      <c r="N43" s="22">
        <f>'Weekly Cost Comparison'!C48</f>
        <v>31.452054794520546</v>
      </c>
      <c r="O43" s="22">
        <f>'Weekly Cost Comparison'!D48</f>
        <v>31.888888888888889</v>
      </c>
      <c r="P43" s="22">
        <f>'Weekly Cost Comparison'!E48</f>
        <v>37.25</v>
      </c>
      <c r="Q43" s="22">
        <f>'Weekly Cost Comparison'!F48</f>
        <v>41</v>
      </c>
      <c r="S43" s="1" t="str">
        <f t="shared" si="7"/>
        <v>MyTrain3 (20-35km)</v>
      </c>
      <c r="T43" s="25">
        <f t="shared" si="8"/>
        <v>2.5723620106608598</v>
      </c>
      <c r="U43" s="25">
        <f t="shared" si="8"/>
        <v>2.389586238958624</v>
      </c>
      <c r="V43" s="25">
        <f t="shared" si="8"/>
        <v>0.14644351464435204</v>
      </c>
    </row>
    <row r="44" spans="2:22">
      <c r="B44" s="19"/>
      <c r="C44" s="20" t="s">
        <v>20</v>
      </c>
      <c r="D44" s="21">
        <f>'Weekly Cost Comparison'!J49</f>
        <v>50.4</v>
      </c>
      <c r="E44" s="21">
        <f t="shared" si="6"/>
        <v>46.41</v>
      </c>
      <c r="F44" s="21">
        <f t="shared" si="6"/>
        <v>42.42</v>
      </c>
      <c r="G44" s="21">
        <f t="shared" si="6"/>
        <v>38.43</v>
      </c>
      <c r="H44" s="21">
        <f t="shared" si="6"/>
        <v>34.44</v>
      </c>
      <c r="I44" s="21">
        <f t="shared" si="6"/>
        <v>30.45</v>
      </c>
      <c r="J44" s="21">
        <f t="shared" si="6"/>
        <v>26.46</v>
      </c>
      <c r="K44" s="21">
        <f t="shared" si="6"/>
        <v>22.47</v>
      </c>
      <c r="L44" s="21">
        <f>'Weekly Cost Comparison'!$K$46</f>
        <v>18.48</v>
      </c>
      <c r="M44" s="19"/>
      <c r="N44" s="22">
        <f>'Weekly Cost Comparison'!C49</f>
        <v>39.890410958904106</v>
      </c>
      <c r="O44" s="22">
        <f>'Weekly Cost Comparison'!D49</f>
        <v>40.444444444444443</v>
      </c>
      <c r="P44" s="22">
        <f>'Weekly Cost Comparison'!E49</f>
        <v>47.25</v>
      </c>
      <c r="Q44" s="22">
        <f>'Weekly Cost Comparison'!F49</f>
        <v>52</v>
      </c>
      <c r="S44" s="1" t="str">
        <f t="shared" si="7"/>
        <v>MyTrain4 (35-65km)</v>
      </c>
      <c r="T44" s="25">
        <f t="shared" si="8"/>
        <v>2.6339822158135071</v>
      </c>
      <c r="U44" s="25">
        <f t="shared" si="8"/>
        <v>2.4951267056530217</v>
      </c>
      <c r="V44" s="25">
        <f t="shared" si="8"/>
        <v>0.78947368421052599</v>
      </c>
    </row>
    <row r="45" spans="2:22">
      <c r="B45" s="19"/>
      <c r="C45" s="20" t="s">
        <v>78</v>
      </c>
      <c r="D45" s="21">
        <f>SUMPRODUCT($C$30:$C$32,D$30:D$32)</f>
        <v>60</v>
      </c>
      <c r="E45" s="21">
        <f t="shared" ref="E45:H45" si="9">SUMPRODUCT($C$30:$C$32,E$30:E$32)</f>
        <v>53.1</v>
      </c>
      <c r="F45" s="21">
        <f t="shared" si="9"/>
        <v>45</v>
      </c>
      <c r="G45" s="21">
        <f t="shared" si="9"/>
        <v>38.1</v>
      </c>
      <c r="H45" s="21">
        <f t="shared" si="9"/>
        <v>30</v>
      </c>
      <c r="I45" s="21"/>
      <c r="J45" s="21"/>
      <c r="K45" s="21"/>
      <c r="L45" s="21"/>
      <c r="M45" s="19"/>
      <c r="N45" s="22">
        <f>'Weekly Cost Comparison'!C50</f>
        <v>46.794520547945204</v>
      </c>
      <c r="O45" s="22">
        <f>'Weekly Cost Comparison'!D50</f>
        <v>47.444444444444443</v>
      </c>
      <c r="P45" s="22">
        <f>'Weekly Cost Comparison'!E50</f>
        <v>55.5</v>
      </c>
      <c r="Q45" s="22">
        <f>'Weekly Cost Comparison'!F50</f>
        <v>61</v>
      </c>
      <c r="S45" s="1" t="str">
        <f t="shared" si="7"/>
        <v>MyTrain5 (65km+) - 2/day</v>
      </c>
      <c r="T45" s="25">
        <f t="shared" si="8"/>
        <v>1.7607305936073061</v>
      </c>
      <c r="U45" s="25">
        <f t="shared" si="8"/>
        <v>1.6740740740740743</v>
      </c>
      <c r="V45" s="25">
        <f t="shared" si="8"/>
        <v>0.6</v>
      </c>
    </row>
    <row r="46" spans="2:22">
      <c r="B46" s="19"/>
      <c r="C46" s="20" t="s">
        <v>79</v>
      </c>
      <c r="D46" s="21">
        <f>SUMPRODUCT($C$30:$C$32,D$34:D$36)</f>
        <v>60</v>
      </c>
      <c r="E46" s="21">
        <f t="shared" ref="E46:G46" si="10">SUMPRODUCT($C$30:$C$32,E$34:E$36)</f>
        <v>53.1</v>
      </c>
      <c r="F46" s="21">
        <f t="shared" si="10"/>
        <v>45</v>
      </c>
      <c r="G46" s="21">
        <f t="shared" si="10"/>
        <v>40.409999999999997</v>
      </c>
      <c r="H46" s="21"/>
      <c r="I46" s="21"/>
      <c r="J46" s="21"/>
      <c r="K46" s="21"/>
      <c r="L46" s="21"/>
      <c r="M46" s="19"/>
      <c r="N46" s="22">
        <f t="shared" ref="N46" si="11">N45</f>
        <v>46.794520547945204</v>
      </c>
      <c r="O46" s="22">
        <f>O45</f>
        <v>47.444444444444443</v>
      </c>
      <c r="P46" s="22">
        <f>P45</f>
        <v>55.5</v>
      </c>
      <c r="Q46" s="22">
        <f>Q45</f>
        <v>61</v>
      </c>
      <c r="S46" s="1" t="str">
        <f t="shared" si="7"/>
        <v>MyTrain5 (65km+) - 1/day</v>
      </c>
      <c r="T46" s="25">
        <f t="shared" si="8"/>
        <v>1.7607305936073061</v>
      </c>
      <c r="U46" s="25">
        <f t="shared" si="8"/>
        <v>1.6740740740740743</v>
      </c>
      <c r="V46" s="25">
        <f t="shared" si="8"/>
        <v>0.6</v>
      </c>
    </row>
    <row r="47" spans="2:22" ht="31.5">
      <c r="B47" s="19"/>
      <c r="C47" s="23"/>
      <c r="D47" s="84" t="s">
        <v>84</v>
      </c>
      <c r="E47" s="85"/>
      <c r="F47" s="85"/>
      <c r="G47" s="86" t="s">
        <v>85</v>
      </c>
      <c r="H47" s="87"/>
      <c r="I47" s="87"/>
      <c r="J47" s="88" t="s">
        <v>75</v>
      </c>
      <c r="K47" s="89"/>
      <c r="L47" s="90"/>
      <c r="M47" s="19"/>
      <c r="R47" s="24" t="s">
        <v>83</v>
      </c>
      <c r="S47" s="24"/>
    </row>
    <row r="48" spans="2:22">
      <c r="B48" s="19"/>
      <c r="C48" s="19"/>
      <c r="D48" s="19"/>
      <c r="E48" s="19"/>
      <c r="F48" s="19"/>
      <c r="G48" s="19"/>
      <c r="H48" s="19"/>
      <c r="I48" s="19"/>
      <c r="J48" s="19"/>
      <c r="K48" s="19"/>
      <c r="L48" s="19"/>
      <c r="M48" s="19"/>
    </row>
    <row r="51" spans="2:22">
      <c r="B51" s="15" t="s">
        <v>60</v>
      </c>
      <c r="C51" s="16"/>
      <c r="D51" s="91" t="s">
        <v>72</v>
      </c>
      <c r="E51" s="91"/>
      <c r="F51" s="91"/>
      <c r="G51" s="91"/>
      <c r="H51" s="91"/>
      <c r="I51" s="91"/>
      <c r="J51" s="91"/>
      <c r="K51" s="91"/>
      <c r="L51" s="91"/>
    </row>
    <row r="52" spans="2:22">
      <c r="B52" s="17" t="s">
        <v>61</v>
      </c>
      <c r="C52" s="16">
        <v>15</v>
      </c>
      <c r="D52" s="15">
        <v>4</v>
      </c>
      <c r="E52" s="15">
        <v>3</v>
      </c>
      <c r="F52" s="15">
        <v>3</v>
      </c>
      <c r="G52" s="15">
        <v>2</v>
      </c>
      <c r="H52" s="15">
        <v>2</v>
      </c>
      <c r="I52" s="15"/>
      <c r="J52" s="15"/>
      <c r="K52" s="15"/>
      <c r="L52" s="15"/>
      <c r="M52" s="15"/>
      <c r="N52" s="15"/>
    </row>
    <row r="53" spans="2:22">
      <c r="B53" s="17" t="s">
        <v>76</v>
      </c>
      <c r="C53" s="16">
        <f>'Weekly Cost Comparison'!$J$26+'Weekly Cost Comparison'!$J$27</f>
        <v>10.199999999999999</v>
      </c>
      <c r="D53" s="15">
        <v>0</v>
      </c>
      <c r="E53" s="15">
        <v>0</v>
      </c>
      <c r="F53" s="15">
        <v>0</v>
      </c>
      <c r="G53" s="15">
        <v>0</v>
      </c>
      <c r="H53" s="15">
        <v>0</v>
      </c>
      <c r="I53" s="15"/>
      <c r="J53" s="15"/>
      <c r="K53" s="15"/>
      <c r="L53" s="15"/>
      <c r="M53" s="15"/>
      <c r="N53" s="15"/>
    </row>
    <row r="54" spans="2:22">
      <c r="B54" s="17" t="s">
        <v>73</v>
      </c>
      <c r="C54" s="16">
        <f>'Weekly Cost Comparison'!$J$26</f>
        <v>8.1</v>
      </c>
      <c r="D54" s="15">
        <v>0</v>
      </c>
      <c r="E54" s="15">
        <v>1</v>
      </c>
      <c r="F54" s="15">
        <v>0</v>
      </c>
      <c r="G54" s="15">
        <v>1</v>
      </c>
      <c r="H54" s="15">
        <v>0</v>
      </c>
      <c r="I54" s="15"/>
      <c r="J54" s="15"/>
      <c r="K54" s="15"/>
      <c r="L54" s="15"/>
      <c r="M54" s="15"/>
      <c r="N54" s="15"/>
    </row>
    <row r="55" spans="2:22">
      <c r="B55" s="17"/>
      <c r="C55" s="16"/>
      <c r="D55" s="91" t="s">
        <v>71</v>
      </c>
      <c r="E55" s="91"/>
      <c r="F55" s="91"/>
      <c r="G55" s="91"/>
      <c r="H55" s="91"/>
      <c r="I55" s="91"/>
      <c r="J55" s="91"/>
      <c r="K55" s="91"/>
      <c r="L55" s="91"/>
    </row>
    <row r="56" spans="2:22">
      <c r="B56" s="17"/>
      <c r="C56" s="16"/>
      <c r="D56" s="15">
        <v>4</v>
      </c>
      <c r="E56" s="15">
        <v>3</v>
      </c>
      <c r="F56" s="15">
        <v>3</v>
      </c>
      <c r="G56" s="15">
        <v>2</v>
      </c>
      <c r="H56" s="15"/>
      <c r="I56" s="15"/>
      <c r="J56" s="15"/>
      <c r="K56" s="15"/>
      <c r="L56" s="15"/>
    </row>
    <row r="57" spans="2:22">
      <c r="B57" s="17"/>
      <c r="C57" s="16"/>
      <c r="D57" s="15">
        <v>0</v>
      </c>
      <c r="E57" s="15">
        <v>0</v>
      </c>
      <c r="F57" s="15">
        <v>0</v>
      </c>
      <c r="G57" s="15">
        <v>1</v>
      </c>
      <c r="H57" s="15"/>
      <c r="I57" s="15"/>
      <c r="J57" s="15"/>
      <c r="K57" s="15"/>
      <c r="L57" s="15"/>
    </row>
    <row r="58" spans="2:22">
      <c r="B58" s="17"/>
      <c r="C58" s="16"/>
      <c r="D58" s="15">
        <v>0</v>
      </c>
      <c r="E58" s="15">
        <v>1</v>
      </c>
      <c r="F58" s="15">
        <v>0</v>
      </c>
      <c r="G58" s="15">
        <v>0</v>
      </c>
      <c r="H58" s="15"/>
      <c r="I58" s="15"/>
      <c r="J58" s="15"/>
      <c r="K58" s="15"/>
      <c r="L58" s="15"/>
    </row>
    <row r="59" spans="2:22">
      <c r="B59" s="19"/>
      <c r="C59" s="19"/>
      <c r="D59" s="19"/>
      <c r="E59" s="19"/>
      <c r="F59" s="19"/>
      <c r="G59" s="19"/>
      <c r="H59" s="19"/>
      <c r="I59" s="19"/>
      <c r="J59" s="19"/>
      <c r="K59" s="19"/>
      <c r="L59" s="19"/>
      <c r="M59" s="19"/>
    </row>
    <row r="60" spans="2:22">
      <c r="B60" s="19"/>
      <c r="C60" s="81" t="s">
        <v>68</v>
      </c>
      <c r="D60" s="82"/>
      <c r="E60" s="82"/>
      <c r="F60" s="82"/>
      <c r="G60" s="82"/>
      <c r="H60" s="82"/>
      <c r="I60" s="82"/>
      <c r="J60" s="82"/>
      <c r="K60" s="82"/>
      <c r="L60" s="83"/>
      <c r="M60" s="19"/>
      <c r="S60" s="92" t="s">
        <v>93</v>
      </c>
      <c r="T60" s="92"/>
      <c r="U60" s="92"/>
      <c r="V60" s="92"/>
    </row>
    <row r="61" spans="2:22">
      <c r="B61" s="19"/>
      <c r="C61" s="81" t="s">
        <v>77</v>
      </c>
      <c r="D61" s="82"/>
      <c r="E61" s="82"/>
      <c r="F61" s="82"/>
      <c r="G61" s="82"/>
      <c r="H61" s="82"/>
      <c r="I61" s="82"/>
      <c r="J61" s="82"/>
      <c r="K61" s="82"/>
      <c r="L61" s="83"/>
      <c r="M61" s="19"/>
      <c r="S61" s="92" t="str">
        <f>C61</f>
        <v>Make additional off-peak MyBus1 Journeys before achieving weekly travel reward</v>
      </c>
      <c r="T61" s="92"/>
      <c r="U61" s="92"/>
      <c r="V61" s="92"/>
    </row>
    <row r="62" spans="2:22" ht="31.5">
      <c r="B62" s="19"/>
      <c r="C62" s="13" t="s">
        <v>86</v>
      </c>
      <c r="D62" s="14">
        <v>0</v>
      </c>
      <c r="E62" s="14">
        <v>1</v>
      </c>
      <c r="F62" s="14">
        <v>2</v>
      </c>
      <c r="G62" s="14">
        <v>3</v>
      </c>
      <c r="H62" s="14">
        <v>4</v>
      </c>
      <c r="I62" s="14">
        <v>5</v>
      </c>
      <c r="J62" s="14">
        <v>6</v>
      </c>
      <c r="K62" s="14">
        <v>7</v>
      </c>
      <c r="L62" s="14">
        <v>8</v>
      </c>
      <c r="M62" s="19"/>
      <c r="N62" s="19" t="s">
        <v>49</v>
      </c>
      <c r="O62" s="1" t="s">
        <v>65</v>
      </c>
      <c r="P62" s="1" t="s">
        <v>66</v>
      </c>
      <c r="R62" s="24" t="s">
        <v>83</v>
      </c>
      <c r="S62" s="1" t="s">
        <v>91</v>
      </c>
      <c r="T62" s="1" t="s">
        <v>7</v>
      </c>
      <c r="U62" s="1" t="s">
        <v>6</v>
      </c>
      <c r="V62" s="1" t="s">
        <v>5</v>
      </c>
    </row>
    <row r="63" spans="2:22">
      <c r="B63" s="19"/>
      <c r="C63" s="20" t="s">
        <v>17</v>
      </c>
      <c r="D63" s="21">
        <f>'Weekly Cost Comparison'!J46</f>
        <v>26.4</v>
      </c>
      <c r="E63" s="21">
        <f t="shared" ref="E63:K66" si="12">$D63-($D63-$L63)*E$19/8</f>
        <v>25.2</v>
      </c>
      <c r="F63" s="21">
        <f t="shared" si="12"/>
        <v>24</v>
      </c>
      <c r="G63" s="21">
        <f t="shared" si="12"/>
        <v>22.8</v>
      </c>
      <c r="H63" s="21">
        <f t="shared" si="12"/>
        <v>21.6</v>
      </c>
      <c r="I63" s="21">
        <f t="shared" si="12"/>
        <v>20.399999999999999</v>
      </c>
      <c r="J63" s="21">
        <f t="shared" si="12"/>
        <v>19.2</v>
      </c>
      <c r="K63" s="21">
        <f t="shared" si="12"/>
        <v>18</v>
      </c>
      <c r="L63" s="21">
        <f>'Weekly Cost Comparison'!$J$51</f>
        <v>16.8</v>
      </c>
      <c r="M63" s="19"/>
      <c r="N63" s="22">
        <f>'Weekly Cost Comparison'!C46</f>
        <v>21.479452054794518</v>
      </c>
      <c r="O63" s="22">
        <f>'Weekly Cost Comparison'!D46</f>
        <v>21.777777777777779</v>
      </c>
      <c r="P63" s="22">
        <f>'Weekly Cost Comparison'!E46</f>
        <v>25.5</v>
      </c>
      <c r="Q63" s="22">
        <f>'Weekly Cost Comparison'!F46</f>
        <v>28</v>
      </c>
      <c r="S63" s="1" t="str">
        <f t="shared" ref="S63:S68" si="13">C63</f>
        <v>MyTrain1 (0-10km)</v>
      </c>
      <c r="T63" s="25">
        <f t="shared" ref="T63:V68" si="14">($D63-N63)*8/($D63-$L63)</f>
        <v>4.1004566210045681</v>
      </c>
      <c r="U63" s="25">
        <f t="shared" si="14"/>
        <v>3.8518518518518507</v>
      </c>
      <c r="V63" s="25">
        <f t="shared" si="14"/>
        <v>0.749999999999999</v>
      </c>
    </row>
    <row r="64" spans="2:22">
      <c r="B64" s="19"/>
      <c r="C64" s="20" t="s">
        <v>18</v>
      </c>
      <c r="D64" s="21">
        <f>'Weekly Cost Comparison'!J47</f>
        <v>32.799999999999997</v>
      </c>
      <c r="E64" s="21">
        <f t="shared" si="12"/>
        <v>30.799999999999997</v>
      </c>
      <c r="F64" s="21">
        <f t="shared" si="12"/>
        <v>28.799999999999997</v>
      </c>
      <c r="G64" s="21">
        <f t="shared" si="12"/>
        <v>26.799999999999997</v>
      </c>
      <c r="H64" s="21">
        <f t="shared" si="12"/>
        <v>24.799999999999997</v>
      </c>
      <c r="I64" s="21">
        <f t="shared" si="12"/>
        <v>22.799999999999997</v>
      </c>
      <c r="J64" s="21">
        <f t="shared" si="12"/>
        <v>20.8</v>
      </c>
      <c r="K64" s="21">
        <f t="shared" si="12"/>
        <v>18.8</v>
      </c>
      <c r="L64" s="21">
        <f>'Weekly Cost Comparison'!$J$51</f>
        <v>16.8</v>
      </c>
      <c r="M64" s="19"/>
      <c r="N64" s="22">
        <f>'Weekly Cost Comparison'!C47</f>
        <v>26.849315068493148</v>
      </c>
      <c r="O64" s="22">
        <f>'Weekly Cost Comparison'!D47</f>
        <v>27.222222222222221</v>
      </c>
      <c r="P64" s="22">
        <f>'Weekly Cost Comparison'!E47</f>
        <v>31.75</v>
      </c>
      <c r="Q64" s="22">
        <f>'Weekly Cost Comparison'!F47</f>
        <v>35</v>
      </c>
      <c r="S64" s="1" t="str">
        <f t="shared" si="13"/>
        <v>MyTrain2 (10-20km)</v>
      </c>
      <c r="T64" s="25">
        <f t="shared" si="14"/>
        <v>2.9753424657534251</v>
      </c>
      <c r="U64" s="25">
        <f t="shared" si="14"/>
        <v>2.7888888888888883</v>
      </c>
      <c r="V64" s="25">
        <f t="shared" si="14"/>
        <v>0.52499999999999869</v>
      </c>
    </row>
    <row r="65" spans="2:22">
      <c r="B65" s="19"/>
      <c r="C65" s="20" t="s">
        <v>19</v>
      </c>
      <c r="D65" s="21">
        <f>'Weekly Cost Comparison'!J48</f>
        <v>37.6</v>
      </c>
      <c r="E65" s="21">
        <f t="shared" si="12"/>
        <v>35</v>
      </c>
      <c r="F65" s="21">
        <f t="shared" si="12"/>
        <v>32.4</v>
      </c>
      <c r="G65" s="21">
        <f t="shared" si="12"/>
        <v>29.8</v>
      </c>
      <c r="H65" s="21">
        <f t="shared" si="12"/>
        <v>27.200000000000003</v>
      </c>
      <c r="I65" s="21">
        <f t="shared" si="12"/>
        <v>24.6</v>
      </c>
      <c r="J65" s="21">
        <f t="shared" si="12"/>
        <v>22</v>
      </c>
      <c r="K65" s="21">
        <f t="shared" si="12"/>
        <v>19.400000000000002</v>
      </c>
      <c r="L65" s="21">
        <f>'Weekly Cost Comparison'!$J$51</f>
        <v>16.8</v>
      </c>
      <c r="M65" s="19"/>
      <c r="N65" s="22">
        <f>'Weekly Cost Comparison'!C48</f>
        <v>31.452054794520546</v>
      </c>
      <c r="O65" s="22">
        <f>'Weekly Cost Comparison'!D48</f>
        <v>31.888888888888889</v>
      </c>
      <c r="P65" s="22">
        <f>'Weekly Cost Comparison'!E48</f>
        <v>37.25</v>
      </c>
      <c r="Q65" s="22">
        <f>'Weekly Cost Comparison'!F48</f>
        <v>41</v>
      </c>
      <c r="S65" s="1" t="str">
        <f t="shared" si="13"/>
        <v>MyTrain3 (20-35km)</v>
      </c>
      <c r="T65" s="25">
        <f t="shared" si="14"/>
        <v>2.3645943097997906</v>
      </c>
      <c r="U65" s="25">
        <f t="shared" si="14"/>
        <v>2.1965811965811968</v>
      </c>
      <c r="V65" s="25">
        <f t="shared" si="14"/>
        <v>0.13461538461538516</v>
      </c>
    </row>
    <row r="66" spans="2:22">
      <c r="B66" s="19"/>
      <c r="C66" s="20" t="s">
        <v>20</v>
      </c>
      <c r="D66" s="21">
        <f>'Weekly Cost Comparison'!J49</f>
        <v>50.4</v>
      </c>
      <c r="E66" s="21">
        <f t="shared" si="12"/>
        <v>46.2</v>
      </c>
      <c r="F66" s="21">
        <f t="shared" si="12"/>
        <v>42</v>
      </c>
      <c r="G66" s="21">
        <f t="shared" si="12"/>
        <v>37.799999999999997</v>
      </c>
      <c r="H66" s="21">
        <f t="shared" si="12"/>
        <v>33.6</v>
      </c>
      <c r="I66" s="21">
        <f t="shared" si="12"/>
        <v>29.400000000000002</v>
      </c>
      <c r="J66" s="21">
        <f t="shared" si="12"/>
        <v>25.200000000000003</v>
      </c>
      <c r="K66" s="21">
        <f t="shared" si="12"/>
        <v>21.000000000000004</v>
      </c>
      <c r="L66" s="21">
        <f>'Weekly Cost Comparison'!$J$51</f>
        <v>16.8</v>
      </c>
      <c r="M66" s="19"/>
      <c r="N66" s="22">
        <f>'Weekly Cost Comparison'!C49</f>
        <v>39.890410958904106</v>
      </c>
      <c r="O66" s="22">
        <f>'Weekly Cost Comparison'!D49</f>
        <v>40.444444444444443</v>
      </c>
      <c r="P66" s="22">
        <f>'Weekly Cost Comparison'!E49</f>
        <v>47.25</v>
      </c>
      <c r="Q66" s="22">
        <f>'Weekly Cost Comparison'!F49</f>
        <v>52</v>
      </c>
      <c r="S66" s="1" t="str">
        <f t="shared" si="13"/>
        <v>MyTrain4 (35-65km)</v>
      </c>
      <c r="T66" s="25">
        <f t="shared" si="14"/>
        <v>2.502283105022832</v>
      </c>
      <c r="U66" s="25">
        <f t="shared" si="14"/>
        <v>2.3703703703703707</v>
      </c>
      <c r="V66" s="25">
        <f t="shared" si="14"/>
        <v>0.74999999999999978</v>
      </c>
    </row>
    <row r="67" spans="2:22">
      <c r="B67" s="19"/>
      <c r="C67" s="20" t="s">
        <v>78</v>
      </c>
      <c r="D67" s="21">
        <f>SUMPRODUCT($C$30:$C$32,D$30:D$32)</f>
        <v>60</v>
      </c>
      <c r="E67" s="21">
        <f t="shared" ref="E67:H67" si="15">SUMPRODUCT($C$30:$C$32,E$30:E$32)</f>
        <v>53.1</v>
      </c>
      <c r="F67" s="21">
        <f t="shared" si="15"/>
        <v>45</v>
      </c>
      <c r="G67" s="21">
        <f t="shared" si="15"/>
        <v>38.1</v>
      </c>
      <c r="H67" s="21">
        <f t="shared" si="15"/>
        <v>30</v>
      </c>
      <c r="I67" s="21"/>
      <c r="J67" s="21"/>
      <c r="K67" s="21"/>
      <c r="L67" s="21"/>
      <c r="M67" s="19"/>
      <c r="N67" s="22">
        <f>'Weekly Cost Comparison'!C50</f>
        <v>46.794520547945204</v>
      </c>
      <c r="O67" s="22">
        <f>'Weekly Cost Comparison'!D50</f>
        <v>47.444444444444443</v>
      </c>
      <c r="P67" s="22">
        <f>'Weekly Cost Comparison'!E50</f>
        <v>55.5</v>
      </c>
      <c r="Q67" s="22">
        <f>'Weekly Cost Comparison'!F50</f>
        <v>61</v>
      </c>
      <c r="S67" s="1" t="str">
        <f t="shared" si="13"/>
        <v>MyTrain5 (65km+) - 2/day</v>
      </c>
      <c r="T67" s="25">
        <f t="shared" si="14"/>
        <v>1.7607305936073061</v>
      </c>
      <c r="U67" s="25">
        <f t="shared" si="14"/>
        <v>1.6740740740740743</v>
      </c>
      <c r="V67" s="25">
        <f t="shared" si="14"/>
        <v>0.6</v>
      </c>
    </row>
    <row r="68" spans="2:22">
      <c r="B68" s="19"/>
      <c r="C68" s="20" t="s">
        <v>79</v>
      </c>
      <c r="D68" s="21">
        <f>SUMPRODUCT($C$30:$C$32,D$34:D$36)</f>
        <v>60</v>
      </c>
      <c r="E68" s="21">
        <f t="shared" ref="E68:G68" si="16">SUMPRODUCT($C$30:$C$32,E$34:E$36)</f>
        <v>53.1</v>
      </c>
      <c r="F68" s="21">
        <f t="shared" si="16"/>
        <v>45</v>
      </c>
      <c r="G68" s="21">
        <f t="shared" si="16"/>
        <v>40.409999999999997</v>
      </c>
      <c r="H68" s="21"/>
      <c r="I68" s="21"/>
      <c r="J68" s="21"/>
      <c r="K68" s="21"/>
      <c r="L68" s="21"/>
      <c r="M68" s="19"/>
      <c r="N68" s="22">
        <f t="shared" ref="N68" si="17">N67</f>
        <v>46.794520547945204</v>
      </c>
      <c r="O68" s="22">
        <f>O67</f>
        <v>47.444444444444443</v>
      </c>
      <c r="P68" s="22">
        <f>P67</f>
        <v>55.5</v>
      </c>
      <c r="Q68" s="22">
        <f>Q67</f>
        <v>61</v>
      </c>
      <c r="S68" s="1" t="str">
        <f t="shared" si="13"/>
        <v>MyTrain5 (65km+) - 1/day</v>
      </c>
      <c r="T68" s="25">
        <f t="shared" si="14"/>
        <v>1.7607305936073061</v>
      </c>
      <c r="U68" s="25">
        <f t="shared" si="14"/>
        <v>1.6740740740740743</v>
      </c>
      <c r="V68" s="25">
        <f t="shared" si="14"/>
        <v>0.6</v>
      </c>
    </row>
    <row r="69" spans="2:22" ht="30" customHeight="1">
      <c r="B69" s="19"/>
      <c r="C69" s="23"/>
      <c r="D69" s="84" t="s">
        <v>84</v>
      </c>
      <c r="E69" s="85"/>
      <c r="F69" s="85"/>
      <c r="G69" s="86" t="s">
        <v>85</v>
      </c>
      <c r="H69" s="87"/>
      <c r="I69" s="87"/>
      <c r="J69" s="88" t="s">
        <v>75</v>
      </c>
      <c r="K69" s="89"/>
      <c r="L69" s="90"/>
      <c r="M69" s="19"/>
      <c r="R69" s="24" t="s">
        <v>83</v>
      </c>
      <c r="S69" s="24"/>
    </row>
    <row r="70" spans="2:22">
      <c r="B70" s="19"/>
      <c r="C70" s="19"/>
      <c r="D70" s="19"/>
      <c r="E70" s="19"/>
      <c r="F70" s="19"/>
      <c r="G70" s="19"/>
      <c r="H70" s="19"/>
      <c r="I70" s="19"/>
      <c r="J70" s="19"/>
      <c r="K70" s="19"/>
      <c r="L70" s="19"/>
      <c r="M70" s="19"/>
    </row>
  </sheetData>
  <mergeCells count="27">
    <mergeCell ref="S38:V38"/>
    <mergeCell ref="S39:V39"/>
    <mergeCell ref="S60:V60"/>
    <mergeCell ref="S61:V61"/>
    <mergeCell ref="S18:V18"/>
    <mergeCell ref="S17:V17"/>
    <mergeCell ref="C17:L17"/>
    <mergeCell ref="C18:L18"/>
    <mergeCell ref="D4:L4"/>
    <mergeCell ref="D8:L8"/>
    <mergeCell ref="D26:F26"/>
    <mergeCell ref="G26:I26"/>
    <mergeCell ref="J26:L26"/>
    <mergeCell ref="C38:L38"/>
    <mergeCell ref="C39:L39"/>
    <mergeCell ref="D29:L29"/>
    <mergeCell ref="D33:L33"/>
    <mergeCell ref="D47:F47"/>
    <mergeCell ref="G47:I47"/>
    <mergeCell ref="J47:L47"/>
    <mergeCell ref="D51:L51"/>
    <mergeCell ref="D55:L55"/>
    <mergeCell ref="C60:L60"/>
    <mergeCell ref="C61:L61"/>
    <mergeCell ref="D69:F69"/>
    <mergeCell ref="G69:I69"/>
    <mergeCell ref="J69:L69"/>
  </mergeCells>
  <conditionalFormatting sqref="D41:D44 L41:L44 D20:L25">
    <cfRule type="cellIs" dxfId="17" priority="16" operator="greaterThan">
      <formula>$P20</formula>
    </cfRule>
    <cfRule type="cellIs" dxfId="16" priority="17" operator="lessThanOrEqual">
      <formula>$O20</formula>
    </cfRule>
    <cfRule type="cellIs" dxfId="15" priority="18" stopIfTrue="1" operator="lessThanOrEqual">
      <formula>$P20</formula>
    </cfRule>
  </conditionalFormatting>
  <conditionalFormatting sqref="D45:L46">
    <cfRule type="cellIs" dxfId="14" priority="13" operator="greaterThan">
      <formula>$P45</formula>
    </cfRule>
    <cfRule type="cellIs" dxfId="13" priority="14" operator="lessThanOrEqual">
      <formula>$O45</formula>
    </cfRule>
    <cfRule type="cellIs" dxfId="12" priority="15" stopIfTrue="1" operator="lessThanOrEqual">
      <formula>$P45</formula>
    </cfRule>
  </conditionalFormatting>
  <conditionalFormatting sqref="E41:K44">
    <cfRule type="cellIs" dxfId="11" priority="10" operator="greaterThan">
      <formula>$P41</formula>
    </cfRule>
    <cfRule type="cellIs" dxfId="10" priority="11" operator="lessThanOrEqual">
      <formula>$O41</formula>
    </cfRule>
    <cfRule type="cellIs" dxfId="9" priority="12" stopIfTrue="1" operator="lessThanOrEqual">
      <formula>$P41</formula>
    </cfRule>
  </conditionalFormatting>
  <conditionalFormatting sqref="D63:D66 L63:L66">
    <cfRule type="cellIs" dxfId="8" priority="7" operator="greaterThan">
      <formula>$P63</formula>
    </cfRule>
    <cfRule type="cellIs" dxfId="7" priority="8" operator="lessThanOrEqual">
      <formula>$O63</formula>
    </cfRule>
    <cfRule type="cellIs" dxfId="6" priority="9" stopIfTrue="1" operator="lessThanOrEqual">
      <formula>$P63</formula>
    </cfRule>
  </conditionalFormatting>
  <conditionalFormatting sqref="D67:L68">
    <cfRule type="cellIs" dxfId="5" priority="4" operator="greaterThan">
      <formula>$P67</formula>
    </cfRule>
    <cfRule type="cellIs" dxfId="4" priority="5" operator="lessThanOrEqual">
      <formula>$O67</formula>
    </cfRule>
    <cfRule type="cellIs" dxfId="3" priority="6" stopIfTrue="1" operator="lessThanOrEqual">
      <formula>$P67</formula>
    </cfRule>
  </conditionalFormatting>
  <conditionalFormatting sqref="E63:K66">
    <cfRule type="cellIs" dxfId="2" priority="1" operator="greaterThan">
      <formula>$P63</formula>
    </cfRule>
    <cfRule type="cellIs" dxfId="1" priority="2" operator="lessThanOrEqual">
      <formula>$O63</formula>
    </cfRule>
    <cfRule type="cellIs" dxfId="0" priority="3" stopIfTrue="1" operator="lessThanOrEqual">
      <formula>$P63</formula>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Weekly Cost Comparison</vt:lpstr>
      <vt:lpstr>Fare Calculator - Basic</vt:lpstr>
      <vt:lpstr>Fare Calculator - Advanced</vt:lpstr>
      <vt:lpstr>Data Tables</vt:lpstr>
      <vt:lpstr>Weekly Cost Opal</vt:lpstr>
      <vt:lpstr>day</vt:lpstr>
      <vt:lpstr>day_cap</vt:lpstr>
      <vt:lpstr>fare</vt:lpstr>
      <vt:lpstr>fare_cost</vt:lpstr>
      <vt:lpstr>journey_cap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Li-Wen Yip</dc:creator>
  <cp:lastModifiedBy>li-wen.yip@aecom.com</cp:lastModifiedBy>
  <dcterms:created xsi:type="dcterms:W3CDTF">2013-08-23T11:00:30Z</dcterms:created>
  <dcterms:modified xsi:type="dcterms:W3CDTF">2014-03-04T06:46:47Z</dcterms:modified>
</cp:coreProperties>
</file>